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I:\PW\1-PUBLIC WORKS ADMIN\Management Analyst\Water\"/>
    </mc:Choice>
  </mc:AlternateContent>
  <xr:revisionPtr revIDLastSave="0" documentId="13_ncr:1_{11AA1B48-DEFE-4085-AA44-A06F8E8481D4}" xr6:coauthVersionLast="47" xr6:coauthVersionMax="47" xr10:uidLastSave="{00000000-0000-0000-0000-000000000000}"/>
  <workbookProtection workbookAlgorithmName="SHA-512" workbookHashValue="EwtHLIKvDSBMJsKtYNie/CYO9F3WzvK9o9ISbztjOynzV2P+273xv8J9T2g3LK7vE3Lftvr8yS5GG527MJMxlg==" workbookSaltValue="pVd3Hx9vUD0eK7boAmLVtw==" workbookSpinCount="100000" lockStructure="1"/>
  <bookViews>
    <workbookView xWindow="28680" yWindow="-120" windowWidth="29040" windowHeight="15840" tabRatio="830" firstSheet="1" activeTab="1" xr2:uid="{00000000-000D-0000-FFFF-FFFF00000000}"/>
  </bookViews>
  <sheets>
    <sheet name="Calculated Bill" sheetId="30" state="hidden" r:id="rId1"/>
    <sheet name="Bill Calculator" sheetId="31" r:id="rId2"/>
    <sheet name="Water Rates" sheetId="24" state="hidden" r:id="rId3"/>
    <sheet name="Other Rates" sheetId="28" state="hidden" r:id="rId4"/>
  </sheets>
  <externalReferences>
    <externalReference r:id="rId5"/>
  </externalReferences>
  <definedNames>
    <definedName name="__123Graph_X" hidden="1">'[1]Flow of Funds'!$B$15:$K$15</definedName>
    <definedName name="Class">#REF!</definedName>
    <definedName name="ColumnTitle1">#REF!</definedName>
    <definedName name="ColumnTitleRegion1..B4.1">#REF!</definedName>
    <definedName name="ColumnTitleRegion2..C9.1">#REF!</definedName>
    <definedName name="Company_Name">#REF!</definedName>
    <definedName name="Cust_Classes">#REF!</definedName>
    <definedName name="Meter_Size">#REF!</definedName>
    <definedName name="Meter_Sizes">'Water Rates'!$A$8:$A$18</definedName>
    <definedName name="wrn.Print_All." localSheetId="2" hidden="1">{"_1a",#N/A,FALSE,"CIP (1)";"_1b",#N/A,FALSE,"CIP (1)";"_1c",#N/A,FALSE,"CIP (1)";"_1d",#N/A,FALSE,"CIP (1)";"_1e",#N/A,FALSE,"CIP (1)";"_1f",#N/A,FALSE,"CIP (1)";"_2",#N/A,FALSE,"Asset Summary (2)";"_3a",#N/A,FALSE,"Allocation % (3)";"_3b",#N/A,FALSE,"Allocation % (3)";"_3c",#N/A,FALSE,"Allocation % (3)";"_3d",#N/A,FALSE,"Allocation % (3)";"_3e",#N/A,FALSE,"Allocation % (3)";"_4a",#N/A,FALSE,"Allocated cap (4)";"_4b",#N/A,FALSE,"Allocated cap (4)";"_4c",#N/A,FALSE,"Allocated cap (4)";"_4d",#N/A,FALSE,"Allocated cap (4)";"_4e",#N/A,FALSE,"Allocated cap (4)";"_5",#N/A,FALSE,"Cap Fee Calcs (5)"}</definedName>
    <definedName name="wrn.Print_All." hidden="1">{"_1a",#N/A,FALSE,"CIP (1)";"_1b",#N/A,FALSE,"CIP (1)";"_1c",#N/A,FALSE,"CIP (1)";"_1d",#N/A,FALSE,"CIP (1)";"_1e",#N/A,FALSE,"CIP (1)";"_1f",#N/A,FALSE,"CIP (1)";"_2",#N/A,FALSE,"Asset Summary (2)";"_3a",#N/A,FALSE,"Allocation % (3)";"_3b",#N/A,FALSE,"Allocation % (3)";"_3c",#N/A,FALSE,"Allocation % (3)";"_3d",#N/A,FALSE,"Allocation % (3)";"_3e",#N/A,FALSE,"Allocation % (3)";"_4a",#N/A,FALSE,"Allocated cap (4)";"_4b",#N/A,FALSE,"Allocated cap (4)";"_4c",#N/A,FALSE,"Allocated cap (4)";"_4d",#N/A,FALSE,"Allocated cap (4)";"_4e",#N/A,FALSE,"Allocated cap (4)";"_5",#N/A,FALSE,"Cap Fee Calcs (5)"}</definedName>
    <definedName name="wrn.Print_All_Tables_1." localSheetId="2" hidden="1">{"_1a",#N/A,FALSE,"CIP (1)";"_1b",#N/A,FALSE,"CIP (1)";"_1c",#N/A,FALSE,"CIP (1)";"_1d",#N/A,FALSE,"CIP (1)";"_1e",#N/A,FALSE,"CIP (1)";"_1f",#N/A,FALSE,"CIP (1)";"_2",#N/A,FALSE,"Asset Summary (2)";"_3a",#N/A,FALSE,"Allocation % (3)";"_3b",#N/A,FALSE,"Allocation % (3)";"_3c",#N/A,FALSE,"Allocation % (3)";"_3d",#N/A,FALSE,"Allocation % (3)";"_3e",#N/A,FALSE,"Allocation % (3)";"_4a",#N/A,FALSE,"Allocated cap (4)";"_4b",#N/A,FALSE,"Allocated cap (4)";"_4c",#N/A,FALSE,"Allocated cap (4)";"_4d",#N/A,FALSE,"Allocated cap (4)";"_4e",#N/A,FALSE,"Allocated cap (4)";"_5",#N/A,FALSE,"Cap Fee Calcs (5)"}</definedName>
    <definedName name="wrn.Print_All_Tables_1." hidden="1">{"_1a",#N/A,FALSE,"CIP (1)";"_1b",#N/A,FALSE,"CIP (1)";"_1c",#N/A,FALSE,"CIP (1)";"_1d",#N/A,FALSE,"CIP (1)";"_1e",#N/A,FALSE,"CIP (1)";"_1f",#N/A,FALSE,"CIP (1)";"_2",#N/A,FALSE,"Asset Summary (2)";"_3a",#N/A,FALSE,"Allocation % (3)";"_3b",#N/A,FALSE,"Allocation % (3)";"_3c",#N/A,FALSE,"Allocation % (3)";"_3d",#N/A,FALSE,"Allocation % (3)";"_3e",#N/A,FALSE,"Allocation % (3)";"_4a",#N/A,FALSE,"Allocated cap (4)";"_4b",#N/A,FALSE,"Allocated cap (4)";"_4c",#N/A,FALSE,"Allocated cap (4)";"_4d",#N/A,FALSE,"Allocated cap (4)";"_4e",#N/A,FALSE,"Allocated cap (4)";"_5",#N/A,FALSE,"Cap Fee Calcs (5)"}</definedName>
    <definedName name="Year">#REF!</definedName>
    <definedName name="Year_Lookup">'Water Rates'!$D$24:$D$27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0" l="1"/>
  <c r="C21" i="30"/>
  <c r="D20" i="30"/>
  <c r="C20" i="30"/>
  <c r="D19" i="30"/>
  <c r="C19" i="30"/>
  <c r="D17" i="30"/>
  <c r="C17" i="30"/>
  <c r="D16" i="30"/>
  <c r="C16" i="30"/>
  <c r="D14" i="30"/>
  <c r="C14" i="30"/>
  <c r="C11" i="30"/>
  <c r="F10" i="28"/>
  <c r="B4" i="28"/>
  <c r="C4" i="28"/>
  <c r="D13" i="30"/>
  <c r="C13" i="30"/>
  <c r="D11" i="30"/>
  <c r="E10" i="28"/>
  <c r="K3" i="24"/>
  <c r="D22" i="28"/>
  <c r="C3" i="24"/>
  <c r="G33" i="24" l="1"/>
  <c r="J15" i="31"/>
  <c r="R24" i="24"/>
  <c r="J9" i="24"/>
  <c r="J10" i="24" s="1"/>
  <c r="J11" i="24" s="1"/>
  <c r="C3" i="30"/>
  <c r="J6" i="31" s="1"/>
  <c r="I15" i="31" l="1"/>
  <c r="C6" i="30"/>
  <c r="C7" i="30"/>
  <c r="C5" i="30"/>
  <c r="D15" i="30" l="1"/>
  <c r="C15" i="30"/>
  <c r="P23" i="24"/>
  <c r="Q23" i="24"/>
  <c r="R23" i="24"/>
  <c r="P24" i="24" l="1"/>
  <c r="Q24" i="24"/>
  <c r="Q25" i="24" s="1"/>
  <c r="O23" i="24"/>
  <c r="O24" i="24" s="1"/>
  <c r="P25" i="24"/>
  <c r="N23" i="24" l="1"/>
  <c r="D12" i="30"/>
  <c r="J7" i="31" s="1"/>
  <c r="C12" i="30"/>
  <c r="N24" i="24"/>
  <c r="O25" i="24"/>
  <c r="D4" i="28"/>
  <c r="A4" i="28"/>
  <c r="I10" i="31" l="1"/>
  <c r="I9" i="31"/>
  <c r="I11" i="31"/>
  <c r="I14" i="31"/>
  <c r="J9" i="31"/>
  <c r="J11" i="31"/>
  <c r="J10" i="31"/>
  <c r="J14" i="31"/>
  <c r="N25" i="24"/>
  <c r="I7" i="31"/>
  <c r="D19" i="28"/>
  <c r="D14" i="28"/>
  <c r="D18" i="30" s="1"/>
  <c r="J13" i="31" s="1"/>
  <c r="J16" i="31" l="1"/>
  <c r="I16" i="31"/>
  <c r="C18" i="30"/>
  <c r="I13" i="31" s="1"/>
  <c r="I3" i="24"/>
  <c r="D23" i="28" l="1"/>
  <c r="G9" i="24"/>
  <c r="G18" i="24"/>
  <c r="G17" i="24"/>
  <c r="G16" i="24"/>
  <c r="G15" i="24"/>
  <c r="G14" i="24"/>
  <c r="G13" i="24"/>
  <c r="G12" i="24"/>
  <c r="G11" i="24"/>
  <c r="G10" i="24"/>
  <c r="G8" i="24"/>
  <c r="J3" i="24"/>
  <c r="J8" i="31" l="1"/>
  <c r="I8" i="31"/>
  <c r="D13" i="28" l="1"/>
  <c r="I12" i="31" s="1"/>
  <c r="I6" i="31" l="1"/>
  <c r="I17" i="31" s="1"/>
  <c r="D22" i="30"/>
  <c r="J12" i="31"/>
  <c r="J17" i="31" s="1"/>
  <c r="C22" i="30" l="1"/>
</calcChain>
</file>

<file path=xl/sharedStrings.xml><?xml version="1.0" encoding="utf-8"?>
<sst xmlns="http://schemas.openxmlformats.org/spreadsheetml/2006/main" count="140" uniqueCount="80">
  <si>
    <t>Tier 1</t>
  </si>
  <si>
    <t>Tier 2</t>
  </si>
  <si>
    <t>Tier 3</t>
  </si>
  <si>
    <t>Meter
Size</t>
  </si>
  <si>
    <t>Booster Charge</t>
  </si>
  <si>
    <t>Select Meter Size</t>
  </si>
  <si>
    <t>Consumption:</t>
  </si>
  <si>
    <t>Thresholds</t>
  </si>
  <si>
    <t>Identify Customer Profile:</t>
  </si>
  <si>
    <t>1"</t>
  </si>
  <si>
    <t>1 1/2"</t>
  </si>
  <si>
    <t>2"</t>
  </si>
  <si>
    <t>3"</t>
  </si>
  <si>
    <t>4"</t>
  </si>
  <si>
    <t>6"</t>
  </si>
  <si>
    <t>8"</t>
  </si>
  <si>
    <t>10"</t>
  </si>
  <si>
    <t>12"</t>
  </si>
  <si>
    <t>Fiscal Year</t>
  </si>
  <si>
    <t>Rate Revenue Increases</t>
  </si>
  <si>
    <t>5/8" x 3/4"</t>
  </si>
  <si>
    <t>Booster Rate Increases</t>
  </si>
  <si>
    <t>Year / Class</t>
  </si>
  <si>
    <t>Over 15</t>
  </si>
  <si>
    <t>Meter Size</t>
  </si>
  <si>
    <t>Year Look</t>
  </si>
  <si>
    <t>Year</t>
  </si>
  <si>
    <t>3/4" x 3/4"</t>
  </si>
  <si>
    <r>
      <t xml:space="preserve">Thresholds </t>
    </r>
    <r>
      <rPr>
        <sz val="12"/>
        <color indexed="9"/>
        <rFont val="Times New Roman"/>
        <family val="1"/>
      </rPr>
      <t>(CCF)</t>
    </r>
  </si>
  <si>
    <t>Base Charges</t>
  </si>
  <si>
    <t>Booster Pump Charges</t>
  </si>
  <si>
    <t>2021</t>
  </si>
  <si>
    <t>2022</t>
  </si>
  <si>
    <t>Water</t>
  </si>
  <si>
    <t>Sanitary Sewer</t>
  </si>
  <si>
    <t>Stormwater</t>
  </si>
  <si>
    <t>Street Maintenance</t>
  </si>
  <si>
    <t>Parks &amp; Recreation</t>
  </si>
  <si>
    <t>CWS Sewer Increase</t>
  </si>
  <si>
    <t>Tigard Sewer Increase</t>
  </si>
  <si>
    <t>CWS Stormwater Increase</t>
  </si>
  <si>
    <t>Tigard SWM Increase</t>
  </si>
  <si>
    <t>Transportation Utility Fee</t>
  </si>
  <si>
    <t>Monthly Water Consumption</t>
  </si>
  <si>
    <t>Sewer Winter Average</t>
  </si>
  <si>
    <t>Equivalent Dwelling Units</t>
  </si>
  <si>
    <t>Sanitary Sewer Base Charge</t>
  </si>
  <si>
    <t>Sanitary Sewer Use charge</t>
  </si>
  <si>
    <t>Sanitary Sewer Surcharge</t>
  </si>
  <si>
    <t>Stormwater Service Charge</t>
  </si>
  <si>
    <t>Stormwater SWM Surcharge</t>
  </si>
  <si>
    <t>Street Maintenance Fee Non-Residential Fee</t>
  </si>
  <si>
    <t>Parks &amp; Recreation Non-Residential Fee</t>
  </si>
  <si>
    <t>Details</t>
  </si>
  <si>
    <t>Water Fixed Charge</t>
  </si>
  <si>
    <t>Water Booster Charge</t>
  </si>
  <si>
    <t>Water Volume Charges</t>
  </si>
  <si>
    <t xml:space="preserve">Street Maintenance Fee </t>
  </si>
  <si>
    <t>Parks &amp; Recreation Fee</t>
  </si>
  <si>
    <t>Total Per Month</t>
  </si>
  <si>
    <t>River Terrace Transportation</t>
  </si>
  <si>
    <t xml:space="preserve">Include? </t>
  </si>
  <si>
    <t>Services:</t>
  </si>
  <si>
    <t>Residential Volume Rates</t>
  </si>
  <si>
    <t>City Services Received:</t>
  </si>
  <si>
    <t>Winter Average (Sewer Units):</t>
  </si>
  <si>
    <t>Water Units:</t>
  </si>
  <si>
    <t>Equivalent Dwelling Unit (EDU)</t>
  </si>
  <si>
    <t>Total Monthly Bill</t>
  </si>
  <si>
    <t>Booster Charge:</t>
  </si>
  <si>
    <t>Sample Bill</t>
  </si>
  <si>
    <t xml:space="preserve">Tigard Residential Utility Bill Calculator </t>
  </si>
  <si>
    <t>Prior Year Rates</t>
  </si>
  <si>
    <t>Rates Effective 7/1/2023</t>
  </si>
  <si>
    <t>2024</t>
  </si>
  <si>
    <t>20242</t>
  </si>
  <si>
    <t>2025</t>
  </si>
  <si>
    <t>Column1</t>
  </si>
  <si>
    <t>Column2</t>
  </si>
  <si>
    <t>Rates Effective 7/1/2024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</si>
</sst>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8" formatCode="&quot;$&quot;#,##0.00_);[Red]\(&quot;$&quot;#,##0.00\)"/>
    <numFmt numFmtId="164" formatCode="0.0%"/>
    <numFmt numFmtId="165" formatCode="&quot;$&quot;#,##0.00"/>
    <numFmt numFmtId="166" formatCode="[&lt;=9999999]###\-####;\(###\)\ ###\-####"/>
  </numFmts>
  <fonts count="3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12"/>
      <name val="MS Sans Serif"/>
      <family val="2"/>
    </font>
    <font>
      <b/>
      <sz val="8.5"/>
      <color indexed="10"/>
      <name val="MS Sans Serif"/>
      <family val="2"/>
    </font>
    <font>
      <sz val="10"/>
      <color indexed="14"/>
      <name val="MS Sans Serif"/>
      <family val="2"/>
    </font>
    <font>
      <sz val="12"/>
      <color indexed="17"/>
      <name val="Times New Roman"/>
      <family val="1"/>
    </font>
    <font>
      <sz val="12"/>
      <color indexed="12"/>
      <name val="Times New Roman"/>
      <family val="1"/>
    </font>
    <font>
      <sz val="12"/>
      <color indexed="9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5"/>
      <color theme="5"/>
      <name val="Cambria"/>
      <family val="1"/>
      <scheme val="major"/>
    </font>
    <font>
      <sz val="29"/>
      <color theme="5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rgb="FF000000"/>
      <name val="Times New Roman"/>
      <family val="1"/>
    </font>
    <font>
      <sz val="8"/>
      <name val="Arial"/>
      <family val="2"/>
    </font>
    <font>
      <sz val="12"/>
      <color rgb="FF000000"/>
      <name val="Times New Roman"/>
      <family val="1"/>
    </font>
    <font>
      <sz val="8"/>
      <color rgb="FF000000"/>
      <name val="Segoe U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9"/>
        <bgColor indexed="47"/>
      </patternFill>
    </fill>
    <fill>
      <patternFill patternType="solid">
        <fgColor rgb="FFC0504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32">
    <xf numFmtId="0" fontId="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2" borderId="0" applyNumberFormat="0">
      <alignment horizontal="center" wrapText="1"/>
    </xf>
    <xf numFmtId="0" fontId="4" fillId="0" borderId="0" applyNumberFormat="0"/>
    <xf numFmtId="0" fontId="4" fillId="3" borderId="0" applyNumberFormat="0">
      <alignment horizontal="center" wrapText="1"/>
    </xf>
    <xf numFmtId="0" fontId="5" fillId="0" borderId="0" applyNumberFormat="0"/>
    <xf numFmtId="0" fontId="6" fillId="0" borderId="0" applyNumberFormat="0"/>
    <xf numFmtId="0" fontId="4" fillId="4" borderId="0" applyNumberFormat="0">
      <alignment horizontal="center" wrapText="1"/>
    </xf>
    <xf numFmtId="9" fontId="7" fillId="0" borderId="0" applyNumberFormat="0"/>
    <xf numFmtId="5" fontId="8" fillId="0" borderId="0" applyNumberFormat="0"/>
    <xf numFmtId="0" fontId="3" fillId="0" borderId="1"/>
    <xf numFmtId="0" fontId="3" fillId="0" borderId="0"/>
    <xf numFmtId="37" fontId="9" fillId="0" borderId="0" applyNumberFormat="0" applyFill="0" applyBorder="0" applyAlignment="0">
      <alignment horizontal="center"/>
      <protection locked="0"/>
    </xf>
    <xf numFmtId="0" fontId="3" fillId="0" borderId="1">
      <alignment horizontal="center" wrapText="1"/>
    </xf>
    <xf numFmtId="0" fontId="18" fillId="0" borderId="0">
      <alignment horizontal="left" wrapText="1"/>
    </xf>
    <xf numFmtId="0" fontId="19" fillId="0" borderId="0" applyNumberFormat="0" applyFill="0" applyBorder="0" applyProtection="0"/>
    <xf numFmtId="0" fontId="18" fillId="0" borderId="0">
      <alignment horizontal="left" wrapText="1"/>
    </xf>
    <xf numFmtId="165" fontId="18" fillId="6" borderId="0" applyFont="0" applyBorder="0" applyAlignment="0" applyProtection="0">
      <alignment horizontal="left"/>
    </xf>
    <xf numFmtId="0" fontId="18" fillId="0" borderId="0" applyNumberFormat="0" applyFill="0" applyBorder="0" applyProtection="0">
      <alignment horizontal="right" indent="1"/>
    </xf>
    <xf numFmtId="10" fontId="18" fillId="6" borderId="0" applyFont="0" applyBorder="0" applyAlignment="0" applyProtection="0">
      <alignment horizontal="left"/>
    </xf>
    <xf numFmtId="0" fontId="18" fillId="0" borderId="0">
      <alignment horizontal="left" vertical="top" wrapText="1"/>
    </xf>
    <xf numFmtId="166" fontId="18" fillId="0" borderId="0" applyFont="0" applyFill="0" applyBorder="0" applyAlignment="0">
      <alignment horizontal="left"/>
    </xf>
    <xf numFmtId="0" fontId="20" fillId="0" borderId="0" applyNumberFormat="0" applyFill="0" applyBorder="0" applyProtection="0"/>
    <xf numFmtId="14" fontId="19" fillId="0" borderId="0" applyFill="0" applyBorder="0">
      <alignment horizontal="left"/>
    </xf>
    <xf numFmtId="0" fontId="21" fillId="0" borderId="0" applyNumberFormat="0" applyFill="0" applyBorder="0" applyProtection="0"/>
    <xf numFmtId="0" fontId="19" fillId="0" borderId="0" applyNumberFormat="0" applyFill="0" applyBorder="0" applyProtection="0">
      <alignment horizontal="left"/>
    </xf>
    <xf numFmtId="9" fontId="11" fillId="0" borderId="0" applyFont="0" applyFill="0" applyBorder="0" applyAlignment="0" applyProtection="0"/>
  </cellStyleXfs>
  <cellXfs count="101">
    <xf numFmtId="0" fontId="0" fillId="0" borderId="0" xfId="0"/>
    <xf numFmtId="0" fontId="14" fillId="0" borderId="5" xfId="0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left" wrapText="1" indent="1"/>
    </xf>
    <xf numFmtId="38" fontId="3" fillId="0" borderId="0" xfId="1" applyNumberFormat="1" applyFont="1" applyFill="1" applyBorder="1" applyAlignment="1">
      <alignment horizontal="right" indent="1"/>
    </xf>
    <xf numFmtId="38" fontId="3" fillId="0" borderId="4" xfId="1" applyNumberFormat="1" applyFont="1" applyFill="1" applyBorder="1" applyAlignment="1">
      <alignment horizontal="right" indent="1"/>
    </xf>
    <xf numFmtId="0" fontId="3" fillId="0" borderId="5" xfId="1" applyFont="1" applyFill="1" applyBorder="1" applyAlignment="1">
      <alignment horizontal="left" wrapText="1" indent="1"/>
    </xf>
    <xf numFmtId="38" fontId="3" fillId="0" borderId="6" xfId="1" applyNumberFormat="1" applyFont="1" applyFill="1" applyBorder="1" applyAlignment="1">
      <alignment horizontal="right" indent="1"/>
    </xf>
    <xf numFmtId="38" fontId="3" fillId="0" borderId="7" xfId="1" applyNumberFormat="1" applyFont="1" applyFill="1" applyBorder="1" applyAlignment="1">
      <alignment horizontal="right" indent="1"/>
    </xf>
    <xf numFmtId="0" fontId="14" fillId="0" borderId="0" xfId="2" applyFont="1"/>
    <xf numFmtId="0" fontId="15" fillId="0" borderId="0" xfId="2" applyFont="1" applyAlignment="1">
      <alignment horizontal="center" wrapText="1"/>
    </xf>
    <xf numFmtId="0" fontId="15" fillId="0" borderId="0" xfId="2" applyFont="1"/>
    <xf numFmtId="0" fontId="14" fillId="0" borderId="9" xfId="2" applyFont="1" applyBorder="1"/>
    <xf numFmtId="164" fontId="15" fillId="0" borderId="10" xfId="6" applyNumberFormat="1" applyFont="1" applyBorder="1" applyAlignment="1">
      <alignment horizontal="right" wrapText="1" indent="1"/>
    </xf>
    <xf numFmtId="164" fontId="13" fillId="0" borderId="11" xfId="6" applyNumberFormat="1" applyFont="1" applyBorder="1" applyAlignment="1">
      <alignment horizontal="right" wrapText="1" indent="1"/>
    </xf>
    <xf numFmtId="0" fontId="1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left" indent="1"/>
    </xf>
    <xf numFmtId="8" fontId="15" fillId="0" borderId="0" xfId="2" applyNumberFormat="1" applyFont="1" applyBorder="1"/>
    <xf numFmtId="40" fontId="15" fillId="0" borderId="0" xfId="2" applyNumberFormat="1" applyFont="1" applyBorder="1"/>
    <xf numFmtId="164" fontId="15" fillId="0" borderId="11" xfId="6" applyNumberFormat="1" applyFont="1" applyBorder="1" applyAlignment="1">
      <alignment horizontal="right" wrapText="1" indent="1"/>
    </xf>
    <xf numFmtId="0" fontId="15" fillId="0" borderId="0" xfId="2" applyFont="1" applyBorder="1" applyAlignment="1">
      <alignment horizontal="left"/>
    </xf>
    <xf numFmtId="17" fontId="14" fillId="0" borderId="0" xfId="2" quotePrefix="1" applyNumberFormat="1" applyFont="1" applyBorder="1" applyAlignment="1">
      <alignment horizontal="left"/>
    </xf>
    <xf numFmtId="0" fontId="16" fillId="5" borderId="2" xfId="3" applyFont="1" applyFill="1" applyBorder="1"/>
    <xf numFmtId="0" fontId="16" fillId="5" borderId="13" xfId="3" applyFont="1" applyFill="1" applyBorder="1" applyAlignment="1">
      <alignment horizontal="centerContinuous"/>
    </xf>
    <xf numFmtId="0" fontId="16" fillId="5" borderId="14" xfId="3" applyFont="1" applyFill="1" applyBorder="1" applyAlignment="1">
      <alignment horizontal="centerContinuous"/>
    </xf>
    <xf numFmtId="0" fontId="16" fillId="5" borderId="15" xfId="3" applyFont="1" applyFill="1" applyBorder="1" applyAlignment="1">
      <alignment horizontal="centerContinuous"/>
    </xf>
    <xf numFmtId="0" fontId="16" fillId="0" borderId="3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0" fontId="15" fillId="0" borderId="4" xfId="2" applyFont="1" applyFill="1" applyBorder="1" applyAlignment="1">
      <alignment horizontal="center" wrapText="1"/>
    </xf>
    <xf numFmtId="0" fontId="15" fillId="0" borderId="3" xfId="2" applyFont="1" applyFill="1" applyBorder="1" applyAlignment="1">
      <alignment horizontal="left" indent="1"/>
    </xf>
    <xf numFmtId="38" fontId="15" fillId="0" borderId="0" xfId="2" applyNumberFormat="1" applyFont="1" applyFill="1" applyBorder="1" applyAlignment="1">
      <alignment horizontal="right" indent="1"/>
    </xf>
    <xf numFmtId="0" fontId="15" fillId="0" borderId="4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left" indent="1"/>
    </xf>
    <xf numFmtId="38" fontId="15" fillId="0" borderId="6" xfId="2" applyNumberFormat="1" applyFont="1" applyFill="1" applyBorder="1" applyAlignment="1">
      <alignment horizontal="right" indent="1"/>
    </xf>
    <xf numFmtId="0" fontId="15" fillId="0" borderId="7" xfId="2" applyFont="1" applyFill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left" wrapText="1"/>
    </xf>
    <xf numFmtId="0" fontId="14" fillId="0" borderId="0" xfId="2" applyFont="1" applyAlignment="1">
      <alignment horizontal="center"/>
    </xf>
    <xf numFmtId="40" fontId="17" fillId="0" borderId="0" xfId="2" applyNumberFormat="1" applyFont="1" applyBorder="1" applyAlignment="1">
      <alignment vertical="top"/>
    </xf>
    <xf numFmtId="0" fontId="17" fillId="0" borderId="0" xfId="1" applyFont="1" applyFill="1" applyAlignment="1">
      <alignment horizontal="left" indent="1"/>
    </xf>
    <xf numFmtId="0" fontId="17" fillId="0" borderId="0" xfId="2" applyFont="1" applyBorder="1" applyAlignment="1">
      <alignment horizontal="left"/>
    </xf>
    <xf numFmtId="0" fontId="15" fillId="0" borderId="0" xfId="2" applyFont="1" applyBorder="1" applyAlignment="1"/>
    <xf numFmtId="10" fontId="15" fillId="0" borderId="10" xfId="6" applyNumberFormat="1" applyFont="1" applyBorder="1" applyAlignment="1">
      <alignment horizontal="right" wrapText="1" indent="1"/>
    </xf>
    <xf numFmtId="0" fontId="15" fillId="0" borderId="0" xfId="2" quotePrefix="1" applyFont="1" applyAlignment="1">
      <alignment horizontal="center" wrapText="1"/>
    </xf>
    <xf numFmtId="10" fontId="0" fillId="0" borderId="0" xfId="0" applyNumberFormat="1"/>
    <xf numFmtId="8" fontId="0" fillId="0" borderId="0" xfId="0" applyNumberFormat="1"/>
    <xf numFmtId="9" fontId="0" fillId="0" borderId="0" xfId="0" applyNumberFormat="1"/>
    <xf numFmtId="2" fontId="0" fillId="0" borderId="0" xfId="0" applyNumberFormat="1"/>
    <xf numFmtId="0" fontId="23" fillId="0" borderId="0" xfId="1" applyFont="1" applyBorder="1"/>
    <xf numFmtId="0" fontId="24" fillId="0" borderId="0" xfId="1" applyFont="1" applyBorder="1"/>
    <xf numFmtId="0" fontId="1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0" fontId="24" fillId="0" borderId="2" xfId="1" applyFont="1" applyBorder="1"/>
    <xf numFmtId="0" fontId="25" fillId="0" borderId="8" xfId="1" applyFont="1" applyBorder="1" applyAlignment="1">
      <alignment horizontal="left" indent="1"/>
    </xf>
    <xf numFmtId="0" fontId="25" fillId="0" borderId="12" xfId="1" applyFont="1" applyBorder="1" applyAlignment="1">
      <alignment horizontal="center"/>
    </xf>
    <xf numFmtId="0" fontId="24" fillId="0" borderId="3" xfId="1" applyFont="1" applyBorder="1"/>
    <xf numFmtId="0" fontId="25" fillId="0" borderId="4" xfId="1" applyFont="1" applyBorder="1" applyAlignment="1">
      <alignment horizontal="left" indent="1"/>
    </xf>
    <xf numFmtId="0" fontId="24" fillId="0" borderId="3" xfId="1" applyFont="1" applyBorder="1" applyAlignment="1">
      <alignment horizontal="left"/>
    </xf>
    <xf numFmtId="38" fontId="26" fillId="0" borderId="4" xfId="1" applyNumberFormat="1" applyFont="1" applyBorder="1" applyAlignment="1">
      <alignment horizontal="left" indent="1"/>
    </xf>
    <xf numFmtId="0" fontId="24" fillId="0" borderId="5" xfId="1" applyFont="1" applyBorder="1"/>
    <xf numFmtId="0" fontId="25" fillId="0" borderId="7" xfId="1" applyFont="1" applyBorder="1" applyAlignment="1">
      <alignment horizontal="left" indent="1"/>
    </xf>
    <xf numFmtId="0" fontId="25" fillId="0" borderId="0" xfId="1" applyFont="1" applyBorder="1" applyAlignment="1">
      <alignment horizontal="left" indent="1"/>
    </xf>
    <xf numFmtId="0" fontId="1" fillId="0" borderId="16" xfId="0" applyFont="1" applyBorder="1"/>
    <xf numFmtId="0" fontId="22" fillId="0" borderId="17" xfId="0" applyFont="1" applyBorder="1"/>
    <xf numFmtId="0" fontId="22" fillId="0" borderId="17" xfId="0" applyFont="1" applyBorder="1" applyAlignment="1">
      <alignment wrapText="1"/>
    </xf>
    <xf numFmtId="0" fontId="1" fillId="0" borderId="0" xfId="0" applyFont="1" applyBorder="1"/>
    <xf numFmtId="2" fontId="1" fillId="0" borderId="0" xfId="0" applyNumberFormat="1" applyFont="1" applyBorder="1"/>
    <xf numFmtId="2" fontId="22" fillId="0" borderId="17" xfId="0" applyNumberFormat="1" applyFont="1" applyBorder="1"/>
    <xf numFmtId="2" fontId="1" fillId="0" borderId="0" xfId="0" applyNumberFormat="1" applyFont="1"/>
    <xf numFmtId="40" fontId="27" fillId="0" borderId="0" xfId="1" applyNumberFormat="1" applyFont="1" applyFill="1" applyAlignment="1">
      <alignment horizontal="left" vertical="top" indent="1"/>
    </xf>
    <xf numFmtId="40" fontId="29" fillId="0" borderId="0" xfId="1" applyNumberFormat="1" applyFont="1" applyFill="1" applyAlignment="1">
      <alignment horizontal="left" vertical="top" indent="1"/>
    </xf>
    <xf numFmtId="0" fontId="17" fillId="0" borderId="0" xfId="2" applyFont="1" applyAlignment="1">
      <alignment horizontal="center" wrapText="1"/>
    </xf>
    <xf numFmtId="0" fontId="14" fillId="0" borderId="0" xfId="2" applyFont="1" applyBorder="1" applyAlignment="1">
      <alignment horizontal="left"/>
    </xf>
    <xf numFmtId="38" fontId="17" fillId="0" borderId="0" xfId="2" applyNumberFormat="1" applyFont="1" applyBorder="1" applyAlignment="1">
      <alignment horizontal="left" indent="1"/>
    </xf>
    <xf numFmtId="38" fontId="29" fillId="0" borderId="0" xfId="1" applyNumberFormat="1" applyFont="1" applyFill="1" applyAlignment="1">
      <alignment horizontal="left" vertical="top" indent="1"/>
    </xf>
    <xf numFmtId="0" fontId="31" fillId="7" borderId="0" xfId="0" applyFont="1" applyFill="1"/>
    <xf numFmtId="0" fontId="32" fillId="7" borderId="0" xfId="0" applyFont="1" applyFill="1" applyAlignment="1">
      <alignment vertical="top"/>
    </xf>
    <xf numFmtId="0" fontId="0" fillId="0" borderId="0" xfId="0" applyFont="1"/>
    <xf numFmtId="0" fontId="0" fillId="0" borderId="12" xfId="0" applyFont="1" applyBorder="1" applyProtection="1">
      <protection locked="0"/>
    </xf>
    <xf numFmtId="0" fontId="34" fillId="0" borderId="16" xfId="0" applyFont="1" applyBorder="1" applyAlignment="1">
      <alignment horizontal="right" vertical="center"/>
    </xf>
    <xf numFmtId="165" fontId="34" fillId="0" borderId="16" xfId="0" applyNumberFormat="1" applyFont="1" applyBorder="1" applyAlignment="1">
      <alignment horizontal="right" vertical="center"/>
    </xf>
    <xf numFmtId="0" fontId="0" fillId="7" borderId="0" xfId="0" applyFont="1" applyFill="1"/>
    <xf numFmtId="0" fontId="35" fillId="0" borderId="0" xfId="0" applyFont="1"/>
    <xf numFmtId="0" fontId="35" fillId="0" borderId="12" xfId="0" applyFont="1" applyBorder="1" applyProtection="1">
      <protection locked="0"/>
    </xf>
    <xf numFmtId="0" fontId="33" fillId="0" borderId="0" xfId="0" applyFont="1" applyAlignment="1">
      <alignment vertical="top"/>
    </xf>
    <xf numFmtId="0" fontId="36" fillId="0" borderId="17" xfId="0" applyFont="1" applyBorder="1" applyAlignment="1">
      <alignment vertical="center" wrapText="1"/>
    </xf>
    <xf numFmtId="0" fontId="36" fillId="0" borderId="17" xfId="0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right" vertical="center"/>
    </xf>
    <xf numFmtId="0" fontId="37" fillId="0" borderId="16" xfId="0" applyFont="1" applyBorder="1" applyAlignment="1">
      <alignment vertical="center"/>
    </xf>
    <xf numFmtId="165" fontId="37" fillId="0" borderId="16" xfId="0" applyNumberFormat="1" applyFont="1" applyBorder="1" applyAlignment="1">
      <alignment horizontal="right" vertical="center"/>
    </xf>
    <xf numFmtId="9" fontId="15" fillId="0" borderId="0" xfId="31" applyFont="1"/>
    <xf numFmtId="164" fontId="13" fillId="0" borderId="0" xfId="6" applyNumberFormat="1" applyFont="1" applyBorder="1" applyAlignment="1">
      <alignment horizontal="right" wrapText="1" indent="1"/>
    </xf>
    <xf numFmtId="8" fontId="27" fillId="0" borderId="0" xfId="2" applyNumberFormat="1" applyFont="1" applyBorder="1" applyAlignment="1">
      <alignment vertical="top"/>
    </xf>
    <xf numFmtId="40" fontId="27" fillId="0" borderId="0" xfId="2" applyNumberFormat="1" applyFont="1" applyBorder="1" applyAlignment="1">
      <alignment vertical="top"/>
    </xf>
    <xf numFmtId="0" fontId="15" fillId="0" borderId="18" xfId="2" applyFont="1" applyBorder="1" applyAlignment="1">
      <alignment horizontal="center" wrapText="1"/>
    </xf>
    <xf numFmtId="0" fontId="15" fillId="0" borderId="0" xfId="2" applyFont="1" applyFill="1" applyAlignment="1">
      <alignment horizontal="center"/>
    </xf>
    <xf numFmtId="8" fontId="15" fillId="0" borderId="0" xfId="2" applyNumberFormat="1" applyFont="1" applyBorder="1" applyAlignment="1">
      <alignment vertical="top"/>
    </xf>
    <xf numFmtId="40" fontId="15" fillId="0" borderId="0" xfId="2" applyNumberFormat="1" applyFont="1" applyBorder="1" applyAlignment="1">
      <alignment vertical="top"/>
    </xf>
  </cellXfs>
  <cellStyles count="32">
    <cellStyle name="Currency 2" xfId="22" xr:uid="{9C443EEC-5541-4B10-8C69-D0D1A4D4C419}"/>
    <cellStyle name="Date" xfId="28" xr:uid="{E286160A-5E27-4C17-8E26-4E680C26C16A}"/>
    <cellStyle name="Explanatory Text 2" xfId="21" xr:uid="{5CC4E38E-1C50-4459-BBD2-52394B174466}"/>
    <cellStyle name="Heading 1 2" xfId="30" xr:uid="{05108AE3-323E-4481-97BA-C9B6FF2099E0}"/>
    <cellStyle name="Heading 2 2" xfId="27" xr:uid="{685FE655-1661-4ECD-BB46-0DAAF55071BE}"/>
    <cellStyle name="Heading 3 2" xfId="23" xr:uid="{1E94445E-76E4-4994-A8CA-F30606534F78}"/>
    <cellStyle name="Heading 4 2" xfId="20" xr:uid="{E2F2299B-CD6B-4027-8F05-53CD83E1C8D0}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19" xr:uid="{33C53B5B-2844-48A9-B39A-539157D802DD}"/>
    <cellStyle name="Normal 7" xfId="4" xr:uid="{00000000-0005-0000-0000-000004000000}"/>
    <cellStyle name="Percent" xfId="31" builtinId="5"/>
    <cellStyle name="Percent 2" xfId="5" xr:uid="{00000000-0005-0000-0000-000005000000}"/>
    <cellStyle name="Percent 2 2" xfId="6" xr:uid="{00000000-0005-0000-0000-000006000000}"/>
    <cellStyle name="Percent 3" xfId="24" xr:uid="{621708C1-5C30-41CD-B121-F2D8890B41BC}"/>
    <cellStyle name="Phone" xfId="26" xr:uid="{B836D431-593B-4BE5-AAE4-00FDD622E892}"/>
    <cellStyle name="Product Description" xfId="25" xr:uid="{555EEABB-83C5-41FF-A4BC-E3488B6BF593}"/>
    <cellStyle name="Sim.@Risk Stats" xfId="7" xr:uid="{00000000-0005-0000-0000-000007000000}"/>
    <cellStyle name="Sim.Calculated Values" xfId="8" xr:uid="{00000000-0005-0000-0000-000008000000}"/>
    <cellStyle name="Sim.Existing Rates" xfId="9" xr:uid="{00000000-0005-0000-0000-000009000000}"/>
    <cellStyle name="Sim.Infromational Inputs" xfId="10" xr:uid="{00000000-0005-0000-0000-00000A000000}"/>
    <cellStyle name="Sim.Infromational Outputs" xfId="11" xr:uid="{00000000-0005-0000-0000-00000B000000}"/>
    <cellStyle name="Sim.Proposed Rates" xfId="12" xr:uid="{00000000-0005-0000-0000-00000C000000}"/>
    <cellStyle name="Sim.Statistical Inputs" xfId="13" xr:uid="{00000000-0005-0000-0000-00000D000000}"/>
    <cellStyle name="Sim.Statistical Ouputs" xfId="14" xr:uid="{00000000-0005-0000-0000-00000E000000}"/>
    <cellStyle name="STYL1 - Style1" xfId="15" xr:uid="{00000000-0005-0000-0000-00000F000000}"/>
    <cellStyle name="STYL2 - Style2" xfId="16" xr:uid="{00000000-0005-0000-0000-000010000000}"/>
    <cellStyle name="Title 2" xfId="29" xr:uid="{6CE7FD15-AA87-4582-AB9C-8B8D224BE55F}"/>
    <cellStyle name="unprotected" xfId="17" xr:uid="{00000000-0005-0000-0000-000011000000}"/>
    <cellStyle name="Wrapped Centered" xfId="18" xr:uid="{00000000-0005-0000-0000-000012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8" formatCode="#,##0.00_);[Red]\(#,##0.00\)"/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8" formatCode="#,##0.00_);[Red]\(#,##0.00\)"/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8" formatCode="#,##0.00_);[Red]\(#,##0.00\)"/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8" formatCode="#,##0.00_);[Red]\(#,##0.00\)"/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relative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fgColor rgb="FF000000"/>
        </patternFill>
      </fill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relative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top" textRotation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relativeIndent="1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top" textRotation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TableStyleMedium9" defaultPivotStyle="PivotStyleLight16">
    <tableStyle name="Invoice" pivot="0" count="6" xr9:uid="{9FC87D6B-9393-4648-9CED-9CF39321AA0D}">
      <tableStyleElement type="wholeTable" dxfId="39"/>
      <tableStyleElement type="headerRow" dxfId="38"/>
      <tableStyleElement type="totalRow" dxfId="37"/>
      <tableStyleElement type="lastColumn" dxfId="36"/>
      <tableStyleElement type="lastHeaderCell" dxfId="35"/>
      <tableStyleElement type="lastTotalCell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'Calculated Bill'!$F$3" lockText="1" noThreeD="1"/>
</file>

<file path=xl/ctrlProps/ctrlProp2.xml><?xml version="1.0" encoding="utf-8"?>
<formControlPr xmlns="http://schemas.microsoft.com/office/spreadsheetml/2009/9/main" objectType="CheckBox" checked="Checked" fmlaLink="'Calculated Bill'!$F$4" lockText="1" noThreeD="1"/>
</file>

<file path=xl/ctrlProps/ctrlProp3.xml><?xml version="1.0" encoding="utf-8"?>
<formControlPr xmlns="http://schemas.microsoft.com/office/spreadsheetml/2009/9/main" objectType="CheckBox" checked="Checked" fmlaLink="'Calculated Bill'!$F$5" lockText="1" noThreeD="1"/>
</file>

<file path=xl/ctrlProps/ctrlProp4.xml><?xml version="1.0" encoding="utf-8"?>
<formControlPr xmlns="http://schemas.microsoft.com/office/spreadsheetml/2009/9/main" objectType="CheckBox" checked="Checked" fmlaLink="'Calculated Bill'!$F$6" lockText="1" noThreeD="1"/>
</file>

<file path=xl/ctrlProps/ctrlProp5.xml><?xml version="1.0" encoding="utf-8"?>
<formControlPr xmlns="http://schemas.microsoft.com/office/spreadsheetml/2009/9/main" objectType="CheckBox" fmlaLink="'Calculated Bill'!$F$7" lockText="1" noThreeD="1"/>
</file>

<file path=xl/ctrlProps/ctrlProp6.xml><?xml version="1.0" encoding="utf-8"?>
<formControlPr xmlns="http://schemas.microsoft.com/office/spreadsheetml/2009/9/main" objectType="CheckBox" checked="Checked" fmlaLink="'Calculated Bill'!$F$8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'Calculated Bill'!$C$4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39832</xdr:rowOff>
    </xdr:from>
    <xdr:to>
      <xdr:col>6</xdr:col>
      <xdr:colOff>61736</xdr:colOff>
      <xdr:row>12</xdr:row>
      <xdr:rowOff>26458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260318"/>
          <a:ext cx="5832122" cy="20591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Use this calculator tool to estimate your monthly residential utility bill. </a:t>
          </a: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Disclaimer: This is for estimating purposes only and may not provide all the information contained on a customer bill or be precisely accurate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endParaRPr lang="en-US" sz="5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To use the calculator, select (by checking the boxes) all the city services that you receive. Then, using the buttons, select whether the booster charge applies to you (see the Rates &amp; Information section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on the City's Utility Billing webpage for more detail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).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As of July 1, 2021 all single family residential customer's pay the same rates, regardless of meter size.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Then, enter the units of water use per month, winter average for units of sewer, and equivalent dwelling units (most residential customers have an EDU of 1). </a:t>
          </a:r>
        </a:p>
        <a:p>
          <a:endParaRPr lang="en-US" sz="5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The chart below shows the calculation of your total monthly cost based on your selections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&amp; 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inputs under the current rates as</a:t>
          </a: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 well as</a:t>
          </a:r>
          <a:r>
            <a:rPr lang="en-US" sz="1050">
              <a:latin typeface="Arial" panose="020B0604020202020204" pitchFamily="34" charset="0"/>
              <a:cs typeface="Arial" panose="020B0604020202020204" pitchFamily="34" charset="0"/>
            </a:rPr>
            <a:t> the new rates effective July 1, 2024. 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1411</xdr:colOff>
          <xdr:row>13</xdr:row>
          <xdr:rowOff>15137</xdr:rowOff>
        </xdr:from>
        <xdr:to>
          <xdr:col>1</xdr:col>
          <xdr:colOff>1449212</xdr:colOff>
          <xdr:row>18</xdr:row>
          <xdr:rowOff>53248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133703" y="2502220"/>
              <a:ext cx="1447801" cy="1034709"/>
              <a:chOff x="133703" y="2272915"/>
              <a:chExt cx="1447801" cy="1069986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133703" y="2272915"/>
                <a:ext cx="800100" cy="2033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Water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133703" y="2432151"/>
                <a:ext cx="800100" cy="223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Sanitary Sewer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133703" y="2607680"/>
                <a:ext cx="800100" cy="2236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Stormwater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133703" y="2785903"/>
                <a:ext cx="1447801" cy="2338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Street Maintenance</a:t>
                </a:r>
              </a:p>
            </xdr:txBody>
          </xdr:sp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133703" y="3159900"/>
                <a:ext cx="1381125" cy="183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River Terrace Transportation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133703" y="2963264"/>
                <a:ext cx="1143000" cy="213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Parks &amp; Recreation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47626</xdr:colOff>
          <xdr:row>13</xdr:row>
          <xdr:rowOff>66660</xdr:rowOff>
        </xdr:from>
        <xdr:to>
          <xdr:col>2</xdr:col>
          <xdr:colOff>743287</xdr:colOff>
          <xdr:row>15</xdr:row>
          <xdr:rowOff>190485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837973" y="2553743"/>
              <a:ext cx="695661" cy="511881"/>
              <a:chOff x="2843390" y="2342077"/>
              <a:chExt cx="695661" cy="511880"/>
            </a:xfrm>
          </xdr:grpSpPr>
          <xdr:sp macro="" textlink="">
            <xdr:nvSpPr>
              <xdr:cNvPr id="4121" name="Group Box 25" descr="Booster Charge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100-000019100000}"/>
                  </a:ext>
                </a:extLst>
              </xdr:cNvPr>
              <xdr:cNvSpPr/>
            </xdr:nvSpPr>
            <xdr:spPr bwMode="auto">
              <a:xfrm>
                <a:off x="2843390" y="2342077"/>
                <a:ext cx="695661" cy="51188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grpSp>
            <xdr:nvGrpSpPr>
              <xdr:cNvPr id="5" name="Group 4">
                <a:extLst>
                  <a:ext uri="{FF2B5EF4-FFF2-40B4-BE49-F238E27FC236}">
                    <a16:creationId xmlns:a16="http://schemas.microsoft.com/office/drawing/2014/main" id="{00000000-0008-0000-0100-000005000000}"/>
                  </a:ext>
                </a:extLst>
              </xdr:cNvPr>
              <xdr:cNvGrpSpPr/>
            </xdr:nvGrpSpPr>
            <xdr:grpSpPr>
              <a:xfrm>
                <a:off x="2954180" y="2410507"/>
                <a:ext cx="576612" cy="360848"/>
                <a:chOff x="2666991" y="2028816"/>
                <a:chExt cx="514352" cy="409590"/>
              </a:xfrm>
            </xdr:grpSpPr>
            <xdr:sp macro="" textlink="">
              <xdr:nvSpPr>
                <xdr:cNvPr id="4124" name="Option Button 28" hidden="1">
                  <a:extLst>
                    <a:ext uri="{63B3BB69-23CF-44E3-9099-C40C66FF867C}">
                      <a14:compatExt spid="_x0000_s4124"/>
                    </a:ext>
                    <a:ext uri="{FF2B5EF4-FFF2-40B4-BE49-F238E27FC236}">
                      <a16:creationId xmlns:a16="http://schemas.microsoft.com/office/drawing/2014/main" id="{00000000-0008-0000-0100-00001C100000}"/>
                    </a:ext>
                  </a:extLst>
                </xdr:cNvPr>
                <xdr:cNvSpPr/>
              </xdr:nvSpPr>
              <xdr:spPr bwMode="auto">
                <a:xfrm>
                  <a:off x="2666991" y="2028816"/>
                  <a:ext cx="485775" cy="21908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Yes</a:t>
                  </a:r>
                </a:p>
              </xdr:txBody>
            </xdr:sp>
            <xdr:sp macro="" textlink="">
              <xdr:nvSpPr>
                <xdr:cNvPr id="4125" name="Option Button 29" hidden="1">
                  <a:extLst>
                    <a:ext uri="{63B3BB69-23CF-44E3-9099-C40C66FF867C}">
                      <a14:compatExt spid="_x0000_s4125"/>
                    </a:ext>
                    <a:ext uri="{FF2B5EF4-FFF2-40B4-BE49-F238E27FC236}">
                      <a16:creationId xmlns:a16="http://schemas.microsoft.com/office/drawing/2014/main" id="{00000000-0008-0000-0100-00001D100000}"/>
                    </a:ext>
                  </a:extLst>
                </xdr:cNvPr>
                <xdr:cNvSpPr/>
              </xdr:nvSpPr>
              <xdr:spPr bwMode="auto">
                <a:xfrm>
                  <a:off x="2666993" y="2219325"/>
                  <a:ext cx="514350" cy="21908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No</a:t>
                  </a:r>
                </a:p>
              </xdr:txBody>
            </xdr:sp>
          </xdr:grp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land\Projects\Projects\Canby%206000-001\Model\Scenarios\Scenarios%20for%20Report\Canby%20Wtr%20FP%20-%20Base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sts"/>
      <sheetName val="O&amp;M Costs"/>
      <sheetName val="SDCs"/>
      <sheetName val="Revenues"/>
      <sheetName val="Flow of Funds"/>
      <sheetName val="Coverage"/>
      <sheetName val="FY Rev Req"/>
      <sheetName val="COS Rev Req"/>
      <sheetName val="Calibration"/>
      <sheetName val="GUI"/>
      <sheetName val="Chrt Customer Impacts"/>
      <sheetName val="Chrt Cash"/>
      <sheetName val="Chrt Capital"/>
      <sheetName val="Chrt Debt"/>
      <sheetName val="File Setup"/>
      <sheetName val="Flow Key"/>
      <sheetName val="Print10yr"/>
      <sheetName val="PrintAll"/>
    </sheetNames>
    <sheetDataSet>
      <sheetData sheetId="0"/>
      <sheetData sheetId="1"/>
      <sheetData sheetId="2"/>
      <sheetData sheetId="3"/>
      <sheetData sheetId="4">
        <row r="15">
          <cell r="B15" t="str">
            <v>FY2007</v>
          </cell>
          <cell r="C15" t="str">
            <v>FY2008</v>
          </cell>
          <cell r="D15" t="str">
            <v>FY2009</v>
          </cell>
          <cell r="E15" t="str">
            <v>FY2010</v>
          </cell>
          <cell r="F15" t="str">
            <v>FY2011</v>
          </cell>
          <cell r="G15" t="str">
            <v>FY2012</v>
          </cell>
          <cell r="H15" t="str">
            <v>FY2013</v>
          </cell>
          <cell r="I15" t="str">
            <v>FY2014</v>
          </cell>
          <cell r="J15" t="str">
            <v>FY2015</v>
          </cell>
          <cell r="K15" t="str">
            <v>FY2016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00000000}" name="Base_Charge" displayName="Base_Charge" ref="A7:E18" totalsRowShown="0" headerRowDxfId="33" dataDxfId="32" tableBorderDxfId="31">
  <tableColumns count="5">
    <tableColumn id="1" xr3:uid="{00000000-0010-0000-0000-000001000000}" name="Meter Size" dataDxfId="30"/>
    <tableColumn id="3" xr3:uid="{00000000-0010-0000-0000-000003000000}" name="Column1" dataDxfId="29" dataCellStyle="Normal 2 2"/>
    <tableColumn id="28" xr3:uid="{00000000-0010-0000-0000-00001C000000}" name="Column2" dataDxfId="28" dataCellStyle="Normal 2 2"/>
    <tableColumn id="29" xr3:uid="{00000000-0010-0000-0000-00001D000000}" name="2024" dataDxfId="27" dataCellStyle="Normal 2 2"/>
    <tableColumn id="2" xr3:uid="{20464BD0-8BEC-4487-A9EC-5734E95AB384}" name="2025" dataDxfId="2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01000000}" name="Booster" displayName="Booster" ref="G7:K18" totalsRowShown="0" headerRowDxfId="25" dataDxfId="24" tableBorderDxfId="23">
  <tableColumns count="5">
    <tableColumn id="1" xr3:uid="{00000000-0010-0000-0100-000001000000}" name="Meter Size" dataDxfId="22" dataCellStyle="Normal 2">
      <calculatedColumnFormula>A8</calculatedColumnFormula>
    </tableColumn>
    <tableColumn id="3" xr3:uid="{00000000-0010-0000-0100-000003000000}" name="2021" dataDxfId="21" dataCellStyle="Normal 2 2"/>
    <tableColumn id="28" xr3:uid="{00000000-0010-0000-0100-00001C000000}" name="2022" dataDxfId="20" dataCellStyle="Normal 2 2"/>
    <tableColumn id="29" xr3:uid="{00000000-0010-0000-0100-00001D000000}" name="20242" dataDxfId="19" dataCellStyle="Normal 2 2">
      <calculatedColumnFormula>I8*(1+J$3)</calculatedColumnFormula>
    </tableColumn>
    <tableColumn id="2" xr3:uid="{20C6D418-F4C6-4198-9EC3-A3F1B68D3047}" name="2025" dataDxfId="1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4000000}" name="Years" displayName="Years" ref="D23:D27" totalsRowShown="0" headerRowDxfId="17" dataDxfId="16" tableBorderDxfId="15" headerRowCellStyle="Normal 2 2" dataCellStyle="Normal 2 2">
  <tableColumns count="1">
    <tableColumn id="1" xr3:uid="{00000000-0010-0000-0400-000001000000}" name="Year" dataDxfId="14" dataCellStyle="Normal 2 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59A348-28EC-46D8-8870-114FC48FF2FF}" name="Tier_Thresholds" displayName="Tier_Thresholds" ref="M8:P19" totalsRowShown="0" headerRowDxfId="13" dataDxfId="12">
  <tableColumns count="4">
    <tableColumn id="1" xr3:uid="{C4082EE4-5D8B-4CFB-A17B-05E9FEAC0FD4}" name="Meter_x000a_Size" dataDxfId="11"/>
    <tableColumn id="2" xr3:uid="{A8926848-ABBA-4693-A562-BEDD86B3F12F}" name="Tier 1" dataDxfId="10"/>
    <tableColumn id="3" xr3:uid="{30F1A8D6-3DFC-4EB6-81D3-EA055F3F4803}" name="Tier 2" dataDxfId="9"/>
    <tableColumn id="4" xr3:uid="{35AB303E-90E0-4AF3-8DCE-08F9C8DB89B7}" name="Tier 3" dataDxfId="8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654287-1AA5-49B3-AB12-4B052EA1CA0D}" name="Tier_Rates" displayName="Tier_Rates" ref="M2:Q5" totalsRowShown="0" headerRowDxfId="7" dataDxfId="6" tableBorderDxfId="5">
  <tableColumns count="5">
    <tableColumn id="1" xr3:uid="{63C19953-4928-43DF-ACF9-9C0AB06C46DE}" name="Year / Class" dataDxfId="4"/>
    <tableColumn id="6" xr3:uid="{8AFF14E2-779A-48E5-B76F-5F135A8045DF}" name="Column1" dataDxfId="3" dataCellStyle="Normal 2"/>
    <tableColumn id="7" xr3:uid="{039DE1FA-AD27-4C3E-8BA3-F929630CBF00}" name="Column2" dataDxfId="2" dataCellStyle="Normal 2"/>
    <tableColumn id="8" xr3:uid="{46D5DB8E-6A74-4A33-9EA4-3046A074DE3E}" name="2024" dataDxfId="1" dataCellStyle="Normal 2"/>
    <tableColumn id="2" xr3:uid="{D8673FC4-58F6-4AC2-B31F-088D62DBC0C1}" name="2025" dataDxfId="0" dataCellStyle="Normal 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4AD2-DC33-4D55-A73E-A0F6F535DF51}">
  <sheetPr codeName="Sheet1"/>
  <dimension ref="B2:G23"/>
  <sheetViews>
    <sheetView workbookViewId="0">
      <selection activeCell="F20" sqref="F20"/>
    </sheetView>
  </sheetViews>
  <sheetFormatPr defaultRowHeight="15" x14ac:dyDescent="0.25"/>
  <cols>
    <col min="1" max="1" width="6.33203125" style="51" customWidth="1"/>
    <col min="2" max="2" width="32.77734375" style="51" bestFit="1" customWidth="1"/>
    <col min="3" max="4" width="12.44140625" style="51" customWidth="1"/>
    <col min="5" max="5" width="23.33203125" style="51" bestFit="1" customWidth="1"/>
    <col min="6" max="6" width="8.88671875" style="53"/>
    <col min="7" max="10" width="8.88671875" style="51"/>
    <col min="11" max="11" width="9.21875" style="51" bestFit="1" customWidth="1"/>
    <col min="12" max="16384" width="8.88671875" style="51"/>
  </cols>
  <sheetData>
    <row r="2" spans="2:7" x14ac:dyDescent="0.25">
      <c r="B2" s="49" t="s">
        <v>8</v>
      </c>
      <c r="C2" s="50"/>
      <c r="E2" s="52" t="s">
        <v>62</v>
      </c>
      <c r="F2" s="53" t="s">
        <v>61</v>
      </c>
    </row>
    <row r="3" spans="2:7" x14ac:dyDescent="0.25">
      <c r="B3" s="54" t="s">
        <v>5</v>
      </c>
      <c r="C3" s="55" t="str">
        <f>VLOOKUP(D3,F11:G14,2,FALSE)</f>
        <v>5/8" x 3/4"</v>
      </c>
      <c r="D3" s="51">
        <v>1</v>
      </c>
      <c r="E3" s="51" t="s">
        <v>33</v>
      </c>
      <c r="F3" s="56" t="b">
        <v>1</v>
      </c>
    </row>
    <row r="4" spans="2:7" x14ac:dyDescent="0.25">
      <c r="B4" s="57" t="s">
        <v>4</v>
      </c>
      <c r="C4" s="58">
        <v>2</v>
      </c>
      <c r="E4" s="51" t="s">
        <v>34</v>
      </c>
      <c r="F4" s="56" t="b">
        <v>1</v>
      </c>
    </row>
    <row r="5" spans="2:7" x14ac:dyDescent="0.25">
      <c r="B5" s="59" t="s">
        <v>43</v>
      </c>
      <c r="C5" s="60">
        <f>'Bill Calculator'!D14</f>
        <v>6</v>
      </c>
      <c r="E5" s="51" t="s">
        <v>35</v>
      </c>
      <c r="F5" s="56" t="b">
        <v>1</v>
      </c>
    </row>
    <row r="6" spans="2:7" x14ac:dyDescent="0.25">
      <c r="B6" s="57" t="s">
        <v>44</v>
      </c>
      <c r="C6" s="58">
        <f>'Bill Calculator'!D16</f>
        <v>6</v>
      </c>
      <c r="E6" s="51" t="s">
        <v>36</v>
      </c>
      <c r="F6" s="56" t="b">
        <v>1</v>
      </c>
    </row>
    <row r="7" spans="2:7" x14ac:dyDescent="0.25">
      <c r="B7" s="61" t="s">
        <v>45</v>
      </c>
      <c r="C7" s="62">
        <f>'Bill Calculator'!D18</f>
        <v>1</v>
      </c>
      <c r="E7" s="51" t="s">
        <v>60</v>
      </c>
      <c r="F7" s="56" t="b">
        <v>0</v>
      </c>
    </row>
    <row r="8" spans="2:7" x14ac:dyDescent="0.25">
      <c r="B8" s="50"/>
      <c r="C8" s="63"/>
      <c r="E8" s="51" t="s">
        <v>37</v>
      </c>
      <c r="F8" s="56" t="b">
        <v>1</v>
      </c>
    </row>
    <row r="9" spans="2:7" ht="15.75" thickBot="1" x14ac:dyDescent="0.3">
      <c r="B9" s="64"/>
      <c r="C9" s="64"/>
      <c r="D9" s="64"/>
    </row>
    <row r="10" spans="2:7" ht="30.75" thickBot="1" x14ac:dyDescent="0.3">
      <c r="B10" s="65" t="s">
        <v>53</v>
      </c>
      <c r="C10" s="66" t="s">
        <v>72</v>
      </c>
      <c r="D10" s="66" t="s">
        <v>73</v>
      </c>
    </row>
    <row r="11" spans="2:7" x14ac:dyDescent="0.25">
      <c r="B11" s="67" t="s">
        <v>54</v>
      </c>
      <c r="C11" s="68">
        <f>IF($F$3=TRUE,VLOOKUP($C$3,Base_Charge[#All],'Water Rates'!D6,FALSE),0)</f>
        <v>32.950000000000003</v>
      </c>
      <c r="D11" s="68">
        <f>IF($F$3=TRUE,VLOOKUP($C$3,Base_Charge[#All],'Water Rates'!E6,FALSE),0)</f>
        <v>33.61</v>
      </c>
      <c r="F11" s="53">
        <v>1</v>
      </c>
      <c r="G11" s="51" t="s">
        <v>20</v>
      </c>
    </row>
    <row r="12" spans="2:7" x14ac:dyDescent="0.25">
      <c r="B12" s="67" t="s">
        <v>56</v>
      </c>
      <c r="C12" s="68">
        <f>IF($F$3=TRUE,SUMPRODUCT('Water Rates'!P23:P25,Tier_Rates[2024]),0)</f>
        <v>27.54</v>
      </c>
      <c r="D12" s="68">
        <f>IF($F$3=TRUE,SUMPRODUCT('Water Rates'!Q23:Q25,Tier_Rates[2025]),0)</f>
        <v>28.08</v>
      </c>
      <c r="F12" s="53">
        <v>2</v>
      </c>
      <c r="G12" s="51" t="s">
        <v>27</v>
      </c>
    </row>
    <row r="13" spans="2:7" x14ac:dyDescent="0.25">
      <c r="B13" s="67" t="s">
        <v>55</v>
      </c>
      <c r="C13" s="68">
        <f>IF($F$3=TRUE,IF($C$4=1,VLOOKUP('Calculated Bill'!$C$3,Booster[#All],'Water Rates'!J6,FALSE),0),0)</f>
        <v>0</v>
      </c>
      <c r="D13" s="68">
        <f>IF($F$3=TRUE,IF($C$4=1,VLOOKUP('Calculated Bill'!$C$3,Booster[#All],'Water Rates'!K6,FALSE),0),0)</f>
        <v>0</v>
      </c>
      <c r="F13" s="53">
        <v>3</v>
      </c>
      <c r="G13" s="51" t="s">
        <v>9</v>
      </c>
    </row>
    <row r="14" spans="2:7" x14ac:dyDescent="0.25">
      <c r="B14" s="67" t="s">
        <v>46</v>
      </c>
      <c r="C14" s="68">
        <f>IF($F$4=TRUE,VLOOKUP($B$14,'Other Rates'!$A$5:$F$23,'Other Rates'!E4,FALSE),0)</f>
        <v>35.729999999999997</v>
      </c>
      <c r="D14" s="68">
        <f>IF($F$4=TRUE,VLOOKUP($B$14,'Other Rates'!$A$5:$F$23,'Other Rates'!F4,FALSE),0)</f>
        <v>37.159999999999997</v>
      </c>
      <c r="F14" s="53">
        <v>4</v>
      </c>
      <c r="G14" s="51" t="s">
        <v>10</v>
      </c>
    </row>
    <row r="15" spans="2:7" x14ac:dyDescent="0.25">
      <c r="B15" s="67" t="s">
        <v>47</v>
      </c>
      <c r="C15" s="68">
        <f>IF($F$4=TRUE,VLOOKUP($B15,'Other Rates'!$A$5:$F$23,'Other Rates'!E$4,FALSE)*'Calculated Bill'!$C$6,0)</f>
        <v>14.16</v>
      </c>
      <c r="D15" s="68">
        <f>IF($F$4=TRUE,VLOOKUP($B15,'Other Rates'!$A$5:$F$23,'Other Rates'!F$4,FALSE)*'Calculated Bill'!$C$6,0)</f>
        <v>14.52</v>
      </c>
    </row>
    <row r="16" spans="2:7" x14ac:dyDescent="0.25">
      <c r="B16" s="67" t="s">
        <v>48</v>
      </c>
      <c r="C16" s="68">
        <f>IF($F$4=TRUE,VLOOKUP($B16,'Other Rates'!$A$5:$F$23,'Other Rates'!E$4,FALSE),0)</f>
        <v>3.06</v>
      </c>
      <c r="D16" s="68">
        <f>IF($F$4=TRUE,VLOOKUP($B16,'Other Rates'!$A$5:$F$23,'Other Rates'!F$4,FALSE),0)</f>
        <v>3.15</v>
      </c>
    </row>
    <row r="17" spans="2:4" x14ac:dyDescent="0.25">
      <c r="B17" s="67" t="s">
        <v>49</v>
      </c>
      <c r="C17" s="68">
        <f>IF($F$5=TRUE,VLOOKUP($B17,'Other Rates'!$A$5:$F$23,'Other Rates'!E$4,FALSE)*$C$7,0)</f>
        <v>10.55</v>
      </c>
      <c r="D17" s="68">
        <f>IF($F$5=TRUE,VLOOKUP($B17,'Other Rates'!$A$5:$F$23,'Other Rates'!F$4,FALSE)*$C$7,0)</f>
        <v>10.97</v>
      </c>
    </row>
    <row r="18" spans="2:4" x14ac:dyDescent="0.25">
      <c r="B18" s="67" t="s">
        <v>50</v>
      </c>
      <c r="C18" s="68">
        <f>IF($F$5=TRUE,VLOOKUP($B18,'Other Rates'!$A$5:$D$23,'Other Rates'!C$4,FALSE)*$C$7,0)</f>
        <v>5.5</v>
      </c>
      <c r="D18" s="68">
        <f>IF($F$5=TRUE,VLOOKUP($B18,'Other Rates'!$A$5:$D$23,'Other Rates'!D$4,FALSE)*$C$7,0)</f>
        <v>5.5</v>
      </c>
    </row>
    <row r="19" spans="2:4" x14ac:dyDescent="0.25">
      <c r="B19" s="67" t="s">
        <v>57</v>
      </c>
      <c r="C19" s="68">
        <f>IF($F$6=TRUE,VLOOKUP($B19,'Other Rates'!$A$5:$F$23,'Other Rates'!E$4,FALSE)*$C$7,0)</f>
        <v>8.52</v>
      </c>
      <c r="D19" s="68">
        <f>IF($F$6=TRUE,VLOOKUP($B19,'Other Rates'!$A$5:$F$23,'Other Rates'!F$4,FALSE)*$C$7,0)</f>
        <v>8.92</v>
      </c>
    </row>
    <row r="20" spans="2:4" x14ac:dyDescent="0.25">
      <c r="B20" s="67" t="s">
        <v>42</v>
      </c>
      <c r="C20" s="68">
        <f>IF($F$7=TRUE,VLOOKUP($B20,'Other Rates'!$A$5:$F$23,'Other Rates'!E$4,FALSE),0)</f>
        <v>0</v>
      </c>
      <c r="D20" s="68">
        <f>IF($F$7=TRUE,VLOOKUP($B20,'Other Rates'!$A$5:$F$23,'Other Rates'!F$4,FALSE),0)</f>
        <v>0</v>
      </c>
    </row>
    <row r="21" spans="2:4" ht="15.75" thickBot="1" x14ac:dyDescent="0.3">
      <c r="B21" s="64" t="s">
        <v>58</v>
      </c>
      <c r="C21" s="68">
        <f>IF($F$8=TRUE,VLOOKUP($B21,'Other Rates'!$A$5:$F$23,'Other Rates'!E$4,FALSE)*$C$7,0)</f>
        <v>8.6300000000000008</v>
      </c>
      <c r="D21" s="68">
        <f>IF($F$8=TRUE,VLOOKUP($B21,'Other Rates'!$A$5:$F$23,'Other Rates'!F$4,FALSE)*$C$7,0)</f>
        <v>9</v>
      </c>
    </row>
    <row r="22" spans="2:4" ht="15.75" thickBot="1" x14ac:dyDescent="0.3">
      <c r="B22" s="65" t="s">
        <v>59</v>
      </c>
      <c r="C22" s="69">
        <f>SUM(C11:C21)</f>
        <v>146.64000000000001</v>
      </c>
      <c r="D22" s="69">
        <f>SUM(D11:D21)</f>
        <v>150.91</v>
      </c>
    </row>
    <row r="23" spans="2:4" x14ac:dyDescent="0.25">
      <c r="C23" s="70"/>
    </row>
  </sheetData>
  <dataValidations disablePrompts="1" count="1">
    <dataValidation type="list" allowBlank="1" showInputMessage="1" showErrorMessage="1" sqref="C3" xr:uid="{45694AD2-176D-4EDF-A6D3-A01B162E76A9}">
      <formula1>Meter_Sizes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CDAC-7E22-4937-9155-7106C0FD6AE7}">
  <sheetPr codeName="Sheet2"/>
  <dimension ref="B1:J26"/>
  <sheetViews>
    <sheetView showGridLines="0" tabSelected="1" zoomScale="108" zoomScaleNormal="108" workbookViewId="0">
      <selection activeCell="D14" sqref="D14"/>
    </sheetView>
  </sheetViews>
  <sheetFormatPr defaultRowHeight="15" x14ac:dyDescent="0.2"/>
  <cols>
    <col min="1" max="1" width="1.5546875" style="79" customWidth="1"/>
    <col min="2" max="2" width="19.33203125" style="79" customWidth="1"/>
    <col min="3" max="3" width="11.77734375" style="79" customWidth="1"/>
    <col min="4" max="4" width="12.77734375" style="79" customWidth="1"/>
    <col min="5" max="5" width="12.21875" style="79" customWidth="1"/>
    <col min="6" max="6" width="10.6640625" style="79" customWidth="1"/>
    <col min="7" max="7" width="2.21875" style="79" customWidth="1"/>
    <col min="8" max="8" width="23.88671875" style="79" bestFit="1" customWidth="1"/>
    <col min="9" max="10" width="12.5546875" style="79" customWidth="1"/>
    <col min="11" max="11" width="2.21875" style="79" customWidth="1"/>
    <col min="12" max="16384" width="8.88671875" style="79"/>
  </cols>
  <sheetData>
    <row r="1" spans="2:10" s="77" customFormat="1" ht="1.5" customHeight="1" x14ac:dyDescent="0.2"/>
    <row r="2" spans="2:10" s="77" customFormat="1" ht="15.75" x14ac:dyDescent="0.2">
      <c r="B2" s="78" t="s">
        <v>71</v>
      </c>
    </row>
    <row r="3" spans="2:10" ht="7.5" customHeight="1" x14ac:dyDescent="0.2"/>
    <row r="4" spans="2:10" ht="21" customHeight="1" thickBot="1" x14ac:dyDescent="0.25">
      <c r="H4" s="86" t="s">
        <v>70</v>
      </c>
    </row>
    <row r="5" spans="2:10" ht="27.75" customHeight="1" thickBot="1" x14ac:dyDescent="0.25">
      <c r="H5" s="87" t="s">
        <v>53</v>
      </c>
      <c r="I5" s="88" t="s">
        <v>73</v>
      </c>
      <c r="J5" s="88" t="s">
        <v>79</v>
      </c>
    </row>
    <row r="6" spans="2:10" ht="15" customHeight="1" x14ac:dyDescent="0.2">
      <c r="H6" s="89" t="s">
        <v>54</v>
      </c>
      <c r="I6" s="90">
        <f>'Calculated Bill'!C11</f>
        <v>32.950000000000003</v>
      </c>
      <c r="J6" s="90">
        <f>'Calculated Bill'!D11</f>
        <v>33.61</v>
      </c>
    </row>
    <row r="7" spans="2:10" ht="15" customHeight="1" x14ac:dyDescent="0.2">
      <c r="H7" s="89" t="s">
        <v>56</v>
      </c>
      <c r="I7" s="90">
        <f>'Calculated Bill'!C12</f>
        <v>27.54</v>
      </c>
      <c r="J7" s="90">
        <f>'Calculated Bill'!D12</f>
        <v>28.08</v>
      </c>
    </row>
    <row r="8" spans="2:10" ht="15" customHeight="1" x14ac:dyDescent="0.2">
      <c r="H8" s="89" t="s">
        <v>55</v>
      </c>
      <c r="I8" s="90">
        <f>'Calculated Bill'!C13</f>
        <v>0</v>
      </c>
      <c r="J8" s="90">
        <f>'Calculated Bill'!D13</f>
        <v>0</v>
      </c>
    </row>
    <row r="9" spans="2:10" ht="15" customHeight="1" x14ac:dyDescent="0.2">
      <c r="H9" s="89" t="s">
        <v>46</v>
      </c>
      <c r="I9" s="90">
        <f>'Calculated Bill'!C14</f>
        <v>35.729999999999997</v>
      </c>
      <c r="J9" s="90">
        <f>'Calculated Bill'!D14</f>
        <v>37.159999999999997</v>
      </c>
    </row>
    <row r="10" spans="2:10" ht="15" customHeight="1" x14ac:dyDescent="0.2">
      <c r="H10" s="89" t="s">
        <v>47</v>
      </c>
      <c r="I10" s="90">
        <f>'Calculated Bill'!C15</f>
        <v>14.16</v>
      </c>
      <c r="J10" s="90">
        <f>'Calculated Bill'!D15</f>
        <v>14.52</v>
      </c>
    </row>
    <row r="11" spans="2:10" ht="15" customHeight="1" x14ac:dyDescent="0.2">
      <c r="H11" s="89" t="s">
        <v>48</v>
      </c>
      <c r="I11" s="90">
        <f>'Calculated Bill'!C16</f>
        <v>3.06</v>
      </c>
      <c r="J11" s="90">
        <f>'Calculated Bill'!D16</f>
        <v>3.15</v>
      </c>
    </row>
    <row r="12" spans="2:10" ht="15" customHeight="1" x14ac:dyDescent="0.2">
      <c r="H12" s="89" t="s">
        <v>49</v>
      </c>
      <c r="I12" s="90">
        <f>'Calculated Bill'!C17</f>
        <v>10.55</v>
      </c>
      <c r="J12" s="90">
        <f>'Calculated Bill'!D17</f>
        <v>10.97</v>
      </c>
    </row>
    <row r="13" spans="2:10" ht="15" customHeight="1" x14ac:dyDescent="0.2">
      <c r="B13" s="84" t="s">
        <v>64</v>
      </c>
      <c r="C13" s="84" t="s">
        <v>69</v>
      </c>
      <c r="D13" s="84" t="s">
        <v>66</v>
      </c>
      <c r="H13" s="89" t="s">
        <v>50</v>
      </c>
      <c r="I13" s="90">
        <f>'Calculated Bill'!C18</f>
        <v>5.5</v>
      </c>
      <c r="J13" s="90">
        <f>'Calculated Bill'!D18</f>
        <v>5.5</v>
      </c>
    </row>
    <row r="14" spans="2:10" ht="15" customHeight="1" x14ac:dyDescent="0.2">
      <c r="B14" s="84"/>
      <c r="C14" s="84"/>
      <c r="D14" s="85">
        <v>6</v>
      </c>
      <c r="H14" s="89" t="s">
        <v>57</v>
      </c>
      <c r="I14" s="90">
        <f>'Calculated Bill'!C19</f>
        <v>8.52</v>
      </c>
      <c r="J14" s="90">
        <f>'Calculated Bill'!D19</f>
        <v>8.92</v>
      </c>
    </row>
    <row r="15" spans="2:10" ht="15" customHeight="1" x14ac:dyDescent="0.2">
      <c r="B15" s="84"/>
      <c r="C15" s="84"/>
      <c r="D15" s="84" t="s">
        <v>65</v>
      </c>
      <c r="H15" s="89" t="s">
        <v>42</v>
      </c>
      <c r="I15" s="90">
        <f>'Calculated Bill'!C20</f>
        <v>0</v>
      </c>
      <c r="J15" s="90">
        <f>'Calculated Bill'!D20</f>
        <v>0</v>
      </c>
    </row>
    <row r="16" spans="2:10" ht="15" customHeight="1" thickBot="1" x14ac:dyDescent="0.25">
      <c r="B16" s="84"/>
      <c r="C16" s="84"/>
      <c r="D16" s="85">
        <v>6</v>
      </c>
      <c r="H16" s="91" t="s">
        <v>58</v>
      </c>
      <c r="I16" s="92">
        <f>'Calculated Bill'!C21</f>
        <v>8.6300000000000008</v>
      </c>
      <c r="J16" s="92">
        <f>'Calculated Bill'!D21</f>
        <v>9</v>
      </c>
    </row>
    <row r="17" spans="2:10" ht="20.25" customHeight="1" thickBot="1" x14ac:dyDescent="0.25">
      <c r="B17" s="84"/>
      <c r="C17" s="84"/>
      <c r="D17" s="84" t="s">
        <v>67</v>
      </c>
      <c r="H17" s="81" t="s">
        <v>68</v>
      </c>
      <c r="I17" s="82">
        <f>SUM(I6:I16)</f>
        <v>146.64000000000001</v>
      </c>
      <c r="J17" s="82">
        <f>SUM(J6:J16)</f>
        <v>150.91</v>
      </c>
    </row>
    <row r="18" spans="2:10" ht="12.75" customHeight="1" x14ac:dyDescent="0.2">
      <c r="D18" s="80">
        <v>1</v>
      </c>
    </row>
    <row r="20" spans="2:10" s="83" customFormat="1" x14ac:dyDescent="0.2"/>
    <row r="21" spans="2:10" s="83" customFormat="1" x14ac:dyDescent="0.2"/>
    <row r="26" spans="2:10" ht="18.75" customHeight="1" x14ac:dyDescent="0.2"/>
  </sheetData>
  <sheetProtection algorithmName="SHA-512" hashValue="It0XDIMRyZUXctVXUTWCkxgy0xHAescMW2mpkabwjdNmfAFbgRaCPm2ozamgMA02EwBVC5tmBYTpDq0e2gsKoA==" saltValue="g9SznSe44VQZfP+XCd8xTg==" spinCount="100000" sheet="1" objects="1" scenarios="1" selectLockedCells="1"/>
  <dataValidations count="1">
    <dataValidation type="whole" operator="greaterThan" allowBlank="1" showInputMessage="1" showErrorMessage="1" sqref="D14 D16 D18" xr:uid="{1CD1A56C-A553-420B-B338-FE6FA34C6507}">
      <formula1>0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19050</xdr:rowOff>
                  </from>
                  <to>
                    <xdr:col>1</xdr:col>
                    <xdr:colOff>800100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171450</xdr:rowOff>
                  </from>
                  <to>
                    <xdr:col>1</xdr:col>
                    <xdr:colOff>800100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142875</xdr:rowOff>
                  </from>
                  <to>
                    <xdr:col>1</xdr:col>
                    <xdr:colOff>800100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123825</xdr:rowOff>
                  </from>
                  <to>
                    <xdr:col>1</xdr:col>
                    <xdr:colOff>1447800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38100</xdr:rowOff>
                  </from>
                  <to>
                    <xdr:col>1</xdr:col>
                    <xdr:colOff>1381125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104775</xdr:rowOff>
                  </from>
                  <to>
                    <xdr:col>1</xdr:col>
                    <xdr:colOff>1143000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Group Box 25">
              <controlPr defaultSize="0" autoFill="0" autoPict="0" altText="Booster Charge">
                <anchor moveWithCells="1">
                  <from>
                    <xdr:col>2</xdr:col>
                    <xdr:colOff>47625</xdr:colOff>
                    <xdr:row>14</xdr:row>
                    <xdr:rowOff>66675</xdr:rowOff>
                  </from>
                  <to>
                    <xdr:col>2</xdr:col>
                    <xdr:colOff>742950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Option Button 28">
              <controlPr defaultSize="0" autoFill="0" autoLine="0" autoPict="0">
                <anchor moveWithCells="1">
                  <from>
                    <xdr:col>2</xdr:col>
                    <xdr:colOff>161925</xdr:colOff>
                    <xdr:row>14</xdr:row>
                    <xdr:rowOff>133350</xdr:rowOff>
                  </from>
                  <to>
                    <xdr:col>2</xdr:col>
                    <xdr:colOff>704850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2" name="Option Button 29">
              <controlPr defaultSize="0" autoFill="0" autoLine="0" autoPict="0">
                <anchor moveWithCells="1">
                  <from>
                    <xdr:col>2</xdr:col>
                    <xdr:colOff>161925</xdr:colOff>
                    <xdr:row>15</xdr:row>
                    <xdr:rowOff>104775</xdr:rowOff>
                  </from>
                  <to>
                    <xdr:col>2</xdr:col>
                    <xdr:colOff>733425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V36"/>
  <sheetViews>
    <sheetView zoomScale="85" zoomScaleNormal="85" workbookViewId="0">
      <selection activeCell="D6" sqref="D6"/>
    </sheetView>
  </sheetViews>
  <sheetFormatPr defaultRowHeight="15.75" x14ac:dyDescent="0.25"/>
  <cols>
    <col min="1" max="1" width="20.77734375" style="12" customWidth="1"/>
    <col min="2" max="6" width="9.77734375" style="12" customWidth="1"/>
    <col min="7" max="7" width="20.77734375" style="12" customWidth="1"/>
    <col min="8" max="12" width="9.77734375" style="12" customWidth="1"/>
    <col min="13" max="13" width="12.88671875" style="12" bestFit="1" customWidth="1"/>
    <col min="14" max="14" width="9.77734375" style="12" customWidth="1"/>
    <col min="15" max="17" width="10.77734375" style="12" customWidth="1"/>
    <col min="18" max="16384" width="8.88671875" style="12"/>
  </cols>
  <sheetData>
    <row r="1" spans="1:17" x14ac:dyDescent="0.25">
      <c r="M1" s="12" t="s">
        <v>63</v>
      </c>
    </row>
    <row r="2" spans="1:17" x14ac:dyDescent="0.25">
      <c r="A2" s="10" t="s">
        <v>18</v>
      </c>
      <c r="B2" s="44" t="s">
        <v>31</v>
      </c>
      <c r="C2" s="44" t="s">
        <v>32</v>
      </c>
      <c r="D2" s="44">
        <v>2023</v>
      </c>
      <c r="E2" s="44">
        <v>2024</v>
      </c>
      <c r="G2" s="10" t="s">
        <v>18</v>
      </c>
      <c r="H2" s="11" t="s">
        <v>31</v>
      </c>
      <c r="I2" s="11" t="s">
        <v>32</v>
      </c>
      <c r="J2" s="11">
        <v>2023</v>
      </c>
      <c r="K2" s="11">
        <v>2024</v>
      </c>
      <c r="M2" s="21" t="s">
        <v>22</v>
      </c>
      <c r="N2" s="11" t="s">
        <v>77</v>
      </c>
      <c r="O2" s="73" t="s">
        <v>78</v>
      </c>
      <c r="P2" s="73" t="s">
        <v>74</v>
      </c>
      <c r="Q2" s="11" t="s">
        <v>76</v>
      </c>
    </row>
    <row r="3" spans="1:17" x14ac:dyDescent="0.25">
      <c r="A3" s="13" t="s">
        <v>19</v>
      </c>
      <c r="B3" s="43">
        <v>3.2500000000000001E-2</v>
      </c>
      <c r="C3" s="43">
        <f>B3</f>
        <v>3.2500000000000001E-2</v>
      </c>
      <c r="D3" s="15">
        <v>3.7499999999999999E-2</v>
      </c>
      <c r="E3" s="94"/>
      <c r="G3" s="13" t="s">
        <v>21</v>
      </c>
      <c r="H3" s="14">
        <v>0</v>
      </c>
      <c r="I3" s="14">
        <f>H3</f>
        <v>0</v>
      </c>
      <c r="J3" s="14">
        <f>I3</f>
        <v>0</v>
      </c>
      <c r="K3" s="20">
        <f>J3</f>
        <v>0</v>
      </c>
      <c r="M3" s="22" t="s">
        <v>0</v>
      </c>
      <c r="N3" s="71"/>
      <c r="O3" s="72"/>
      <c r="P3" s="72">
        <v>4.59</v>
      </c>
      <c r="Q3" s="71">
        <v>4.68</v>
      </c>
    </row>
    <row r="4" spans="1:17" x14ac:dyDescent="0.25">
      <c r="M4" s="74" t="s">
        <v>1</v>
      </c>
      <c r="N4" s="71"/>
      <c r="O4" s="72"/>
      <c r="P4" s="72">
        <v>6.69</v>
      </c>
      <c r="Q4" s="71">
        <v>6.83</v>
      </c>
    </row>
    <row r="5" spans="1:17" x14ac:dyDescent="0.25">
      <c r="A5" s="10" t="s">
        <v>29</v>
      </c>
      <c r="G5" s="10" t="s">
        <v>30</v>
      </c>
      <c r="M5" s="22" t="s">
        <v>2</v>
      </c>
      <c r="N5" s="71"/>
      <c r="O5" s="72"/>
      <c r="P5" s="72">
        <v>7.67</v>
      </c>
      <c r="Q5" s="71">
        <v>7.82</v>
      </c>
    </row>
    <row r="6" spans="1:17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G6" s="12">
        <v>1</v>
      </c>
      <c r="H6" s="12">
        <v>2</v>
      </c>
      <c r="I6" s="12">
        <v>3</v>
      </c>
      <c r="J6" s="12">
        <v>4</v>
      </c>
      <c r="K6" s="12">
        <v>5</v>
      </c>
      <c r="M6" s="75">
        <v>1</v>
      </c>
      <c r="N6" s="76">
        <v>2</v>
      </c>
      <c r="O6" s="76">
        <v>3</v>
      </c>
      <c r="P6" s="76">
        <v>4</v>
      </c>
    </row>
    <row r="7" spans="1:17" x14ac:dyDescent="0.25">
      <c r="A7" s="37" t="s">
        <v>24</v>
      </c>
      <c r="B7" s="16" t="s">
        <v>77</v>
      </c>
      <c r="C7" s="16" t="s">
        <v>78</v>
      </c>
      <c r="D7" s="16" t="s">
        <v>74</v>
      </c>
      <c r="E7" s="97" t="s">
        <v>76</v>
      </c>
      <c r="G7" s="37" t="s">
        <v>24</v>
      </c>
      <c r="H7" s="16" t="s">
        <v>31</v>
      </c>
      <c r="I7" s="16" t="s">
        <v>32</v>
      </c>
      <c r="J7" s="16" t="s">
        <v>75</v>
      </c>
      <c r="K7" s="97" t="s">
        <v>76</v>
      </c>
      <c r="M7" s="23"/>
      <c r="N7" s="24" t="s">
        <v>28</v>
      </c>
      <c r="O7" s="25"/>
      <c r="P7" s="26"/>
    </row>
    <row r="8" spans="1:17" ht="15" customHeight="1" x14ac:dyDescent="0.25">
      <c r="A8" s="42" t="s">
        <v>20</v>
      </c>
      <c r="B8" s="18"/>
      <c r="C8" s="18"/>
      <c r="D8" s="18">
        <v>32.950000000000003</v>
      </c>
      <c r="E8" s="95">
        <v>33.61</v>
      </c>
      <c r="G8" s="17" t="str">
        <f t="shared" ref="G8:G18" si="0">A8</f>
        <v>5/8" x 3/4"</v>
      </c>
      <c r="H8" s="18">
        <v>5.15</v>
      </c>
      <c r="I8" s="18">
        <v>2.0299999999999998</v>
      </c>
      <c r="J8" s="18">
        <v>2.0299999999999998</v>
      </c>
      <c r="K8" s="99">
        <v>2.0299999999999998</v>
      </c>
      <c r="M8" s="27" t="s">
        <v>3</v>
      </c>
      <c r="N8" s="28" t="s">
        <v>0</v>
      </c>
      <c r="O8" s="28" t="s">
        <v>1</v>
      </c>
      <c r="P8" s="29" t="s">
        <v>2</v>
      </c>
    </row>
    <row r="9" spans="1:17" x14ac:dyDescent="0.25">
      <c r="A9" s="41" t="s">
        <v>27</v>
      </c>
      <c r="B9" s="39"/>
      <c r="C9" s="39"/>
      <c r="D9" s="39">
        <v>32.950000000000003</v>
      </c>
      <c r="E9" s="96">
        <v>33.61</v>
      </c>
      <c r="G9" s="40" t="str">
        <f t="shared" si="0"/>
        <v>3/4" x 3/4"</v>
      </c>
      <c r="H9" s="18">
        <v>7.42</v>
      </c>
      <c r="I9" s="18">
        <v>2.0299999999999998</v>
      </c>
      <c r="J9" s="18">
        <f>J8</f>
        <v>2.0299999999999998</v>
      </c>
      <c r="K9" s="99">
        <v>2.0299999999999998</v>
      </c>
      <c r="M9" s="30" t="s">
        <v>20</v>
      </c>
      <c r="N9" s="31">
        <v>6</v>
      </c>
      <c r="O9" s="31">
        <v>15</v>
      </c>
      <c r="P9" s="32" t="s">
        <v>23</v>
      </c>
    </row>
    <row r="10" spans="1:17" x14ac:dyDescent="0.25">
      <c r="A10" s="17" t="s">
        <v>9</v>
      </c>
      <c r="B10" s="19"/>
      <c r="C10" s="19"/>
      <c r="D10" s="19">
        <v>32.950000000000003</v>
      </c>
      <c r="E10" s="96">
        <v>33.61</v>
      </c>
      <c r="G10" s="17" t="str">
        <f t="shared" si="0"/>
        <v>1"</v>
      </c>
      <c r="H10" s="19">
        <v>13.72</v>
      </c>
      <c r="I10" s="19">
        <v>2.0299999999999998</v>
      </c>
      <c r="J10" s="18">
        <f t="shared" ref="J10:J11" si="1">J9</f>
        <v>2.0299999999999998</v>
      </c>
      <c r="K10" s="99">
        <v>2.0299999999999998</v>
      </c>
      <c r="M10" s="30" t="s">
        <v>27</v>
      </c>
      <c r="N10" s="31">
        <v>6</v>
      </c>
      <c r="O10" s="31">
        <v>15</v>
      </c>
      <c r="P10" s="32" t="s">
        <v>23</v>
      </c>
    </row>
    <row r="11" spans="1:17" ht="18" customHeight="1" x14ac:dyDescent="0.25">
      <c r="A11" s="17" t="s">
        <v>10</v>
      </c>
      <c r="B11" s="19"/>
      <c r="C11" s="19"/>
      <c r="D11" s="19">
        <v>32.950000000000003</v>
      </c>
      <c r="E11" s="96">
        <v>33.61</v>
      </c>
      <c r="G11" s="17" t="str">
        <f t="shared" si="0"/>
        <v>1 1/2"</v>
      </c>
      <c r="H11" s="19">
        <v>41.16</v>
      </c>
      <c r="I11" s="19">
        <v>2.0299999999999998</v>
      </c>
      <c r="J11" s="18">
        <f t="shared" si="1"/>
        <v>2.0299999999999998</v>
      </c>
      <c r="K11" s="99">
        <v>2.0299999999999998</v>
      </c>
      <c r="M11" s="30" t="s">
        <v>9</v>
      </c>
      <c r="N11" s="31">
        <v>6</v>
      </c>
      <c r="O11" s="31">
        <v>15</v>
      </c>
      <c r="P11" s="32" t="s">
        <v>23</v>
      </c>
    </row>
    <row r="12" spans="1:17" x14ac:dyDescent="0.25">
      <c r="A12" s="17" t="s">
        <v>11</v>
      </c>
      <c r="B12" s="19"/>
      <c r="C12" s="19"/>
      <c r="D12" s="19">
        <v>32.950000000000003</v>
      </c>
      <c r="E12" s="96">
        <v>33.61</v>
      </c>
      <c r="F12" s="19"/>
      <c r="G12" s="17" t="str">
        <f t="shared" si="0"/>
        <v>2"</v>
      </c>
      <c r="H12" s="19">
        <v>66.819999999999993</v>
      </c>
      <c r="I12" s="19"/>
      <c r="J12" s="18"/>
      <c r="K12" s="99"/>
      <c r="M12" s="30" t="s">
        <v>10</v>
      </c>
      <c r="N12" s="31">
        <v>6</v>
      </c>
      <c r="O12" s="31">
        <v>15</v>
      </c>
      <c r="P12" s="32" t="s">
        <v>23</v>
      </c>
    </row>
    <row r="13" spans="1:17" x14ac:dyDescent="0.25">
      <c r="A13" s="17" t="s">
        <v>12</v>
      </c>
      <c r="B13" s="19"/>
      <c r="C13" s="19"/>
      <c r="D13" s="19">
        <v>32.950000000000003</v>
      </c>
      <c r="E13" s="96">
        <v>33.61</v>
      </c>
      <c r="F13" s="19"/>
      <c r="G13" s="17" t="str">
        <f t="shared" si="0"/>
        <v>3"</v>
      </c>
      <c r="H13" s="19">
        <v>117.83</v>
      </c>
      <c r="I13" s="19"/>
      <c r="J13" s="19"/>
      <c r="K13" s="100"/>
      <c r="M13" s="30" t="s">
        <v>11</v>
      </c>
      <c r="N13" s="31"/>
      <c r="O13" s="31"/>
      <c r="P13" s="32"/>
    </row>
    <row r="14" spans="1:17" x14ac:dyDescent="0.25">
      <c r="A14" s="17" t="s">
        <v>13</v>
      </c>
      <c r="B14" s="19"/>
      <c r="C14" s="19"/>
      <c r="D14" s="19">
        <v>32.950000000000003</v>
      </c>
      <c r="E14" s="96">
        <v>33.61</v>
      </c>
      <c r="F14" s="19"/>
      <c r="G14" s="17" t="str">
        <f t="shared" si="0"/>
        <v>4"</v>
      </c>
      <c r="H14" s="19">
        <v>241.65</v>
      </c>
      <c r="I14" s="19"/>
      <c r="J14" s="19"/>
      <c r="K14" s="100"/>
      <c r="M14" s="30" t="s">
        <v>12</v>
      </c>
      <c r="N14" s="31"/>
      <c r="O14" s="31"/>
      <c r="P14" s="32"/>
    </row>
    <row r="15" spans="1:17" x14ac:dyDescent="0.25">
      <c r="A15" s="17" t="s">
        <v>14</v>
      </c>
      <c r="B15" s="19"/>
      <c r="C15" s="19"/>
      <c r="D15" s="19">
        <v>32.950000000000003</v>
      </c>
      <c r="E15" s="96">
        <v>33.61</v>
      </c>
      <c r="F15" s="19"/>
      <c r="G15" s="17" t="str">
        <f t="shared" si="0"/>
        <v>6"</v>
      </c>
      <c r="H15" s="19">
        <v>257.23</v>
      </c>
      <c r="I15" s="19"/>
      <c r="J15" s="19"/>
      <c r="K15" s="100"/>
      <c r="M15" s="30" t="s">
        <v>13</v>
      </c>
      <c r="N15" s="31"/>
      <c r="O15" s="31"/>
      <c r="P15" s="32"/>
    </row>
    <row r="16" spans="1:17" x14ac:dyDescent="0.25">
      <c r="A16" s="17" t="s">
        <v>15</v>
      </c>
      <c r="B16" s="19"/>
      <c r="C16" s="19"/>
      <c r="D16" s="19">
        <v>32.950000000000003</v>
      </c>
      <c r="E16" s="96">
        <v>33.61</v>
      </c>
      <c r="F16" s="19"/>
      <c r="G16" s="17" t="str">
        <f t="shared" si="0"/>
        <v>8"</v>
      </c>
      <c r="H16" s="19">
        <v>411.57</v>
      </c>
      <c r="I16" s="19"/>
      <c r="J16" s="19"/>
      <c r="K16" s="100"/>
      <c r="M16" s="30" t="s">
        <v>14</v>
      </c>
      <c r="N16" s="31"/>
      <c r="O16" s="31"/>
      <c r="P16" s="32"/>
    </row>
    <row r="17" spans="1:18" x14ac:dyDescent="0.25">
      <c r="A17" s="17" t="s">
        <v>16</v>
      </c>
      <c r="B17" s="19"/>
      <c r="C17" s="19"/>
      <c r="D17" s="19">
        <v>32.950000000000003</v>
      </c>
      <c r="E17" s="96">
        <v>33.61</v>
      </c>
      <c r="F17" s="19"/>
      <c r="G17" s="17" t="str">
        <f t="shared" si="0"/>
        <v>10"</v>
      </c>
      <c r="H17" s="19">
        <v>804.11</v>
      </c>
      <c r="I17" s="19"/>
      <c r="J17" s="19"/>
      <c r="K17" s="100"/>
      <c r="M17" s="30" t="s">
        <v>15</v>
      </c>
      <c r="N17" s="31"/>
      <c r="O17" s="31"/>
      <c r="P17" s="32"/>
    </row>
    <row r="18" spans="1:18" x14ac:dyDescent="0.25">
      <c r="A18" s="17" t="s">
        <v>17</v>
      </c>
      <c r="B18" s="19"/>
      <c r="C18" s="19"/>
      <c r="D18" s="19">
        <v>32.950000000000003</v>
      </c>
      <c r="E18" s="96">
        <v>33.61</v>
      </c>
      <c r="G18" s="17" t="str">
        <f t="shared" si="0"/>
        <v>12"</v>
      </c>
      <c r="H18" s="19">
        <v>1157.9100000000001</v>
      </c>
      <c r="I18" s="19"/>
      <c r="J18" s="19"/>
      <c r="K18" s="100"/>
      <c r="M18" s="30" t="s">
        <v>16</v>
      </c>
      <c r="N18" s="31"/>
      <c r="O18" s="31"/>
      <c r="P18" s="32"/>
    </row>
    <row r="19" spans="1:18" x14ac:dyDescent="0.25">
      <c r="M19" s="33" t="s">
        <v>17</v>
      </c>
      <c r="N19" s="34"/>
      <c r="O19" s="34"/>
      <c r="P19" s="35"/>
    </row>
    <row r="21" spans="1:18" x14ac:dyDescent="0.25">
      <c r="D21" s="38" t="s">
        <v>25</v>
      </c>
      <c r="E21" s="38"/>
    </row>
    <row r="22" spans="1:18" x14ac:dyDescent="0.25">
      <c r="M22" s="1" t="s">
        <v>6</v>
      </c>
      <c r="N22" s="2" t="s">
        <v>31</v>
      </c>
      <c r="O22" s="2" t="s">
        <v>32</v>
      </c>
      <c r="P22" s="2">
        <v>2023</v>
      </c>
      <c r="Q22" s="2">
        <v>2024</v>
      </c>
      <c r="R22" s="3" t="s">
        <v>7</v>
      </c>
    </row>
    <row r="23" spans="1:18" x14ac:dyDescent="0.25">
      <c r="D23" s="36" t="s">
        <v>26</v>
      </c>
      <c r="E23" s="36"/>
      <c r="M23" s="4" t="s">
        <v>0</v>
      </c>
      <c r="N23" s="5">
        <f>O23</f>
        <v>6</v>
      </c>
      <c r="O23" s="5">
        <f>MIN('Calculated Bill'!C5,R23)</f>
        <v>6</v>
      </c>
      <c r="P23" s="5">
        <f>MIN('Calculated Bill'!C5,R23)</f>
        <v>6</v>
      </c>
      <c r="Q23" s="5">
        <f>MIN('Calculated Bill'!C5,R23)</f>
        <v>6</v>
      </c>
      <c r="R23" s="6">
        <f>VLOOKUP('Calculated Bill'!$C$3,'Water Rates'!$M$7:$P$19,'Water Rates'!N6,FALSE)</f>
        <v>6</v>
      </c>
    </row>
    <row r="24" spans="1:18" x14ac:dyDescent="0.25">
      <c r="D24" s="36" t="s">
        <v>31</v>
      </c>
      <c r="E24" s="36"/>
      <c r="M24" s="4" t="s">
        <v>1</v>
      </c>
      <c r="N24" s="5">
        <f>O24</f>
        <v>0</v>
      </c>
      <c r="O24" s="5">
        <f>IF('Calculated Bill'!C5&lt;=R23,0,MIN('Calculated Bill'!C5-O23,R24-O23))</f>
        <v>0</v>
      </c>
      <c r="P24" s="5">
        <f>IF('Calculated Bill'!C5&lt;=R23,0,MIN('Calculated Bill'!C5-P23,R24-P23))</f>
        <v>0</v>
      </c>
      <c r="Q24" s="5">
        <f>IF('Calculated Bill'!C5&lt;=R23,0,MIN('Calculated Bill'!C5-Q23,R24-Q23))</f>
        <v>0</v>
      </c>
      <c r="R24" s="6">
        <f>VLOOKUP('Calculated Bill'!$C$3,'Water Rates'!$M$7:$P$19,'Water Rates'!O6,FALSE)</f>
        <v>15</v>
      </c>
    </row>
    <row r="25" spans="1:18" x14ac:dyDescent="0.25">
      <c r="D25" s="36" t="s">
        <v>32</v>
      </c>
      <c r="E25" s="36"/>
      <c r="M25" s="7" t="s">
        <v>2</v>
      </c>
      <c r="N25" s="8">
        <f>O25</f>
        <v>0</v>
      </c>
      <c r="O25" s="8">
        <f>'Calculated Bill'!C5-SUM(O23:O24)</f>
        <v>0</v>
      </c>
      <c r="P25" s="8">
        <f>'Calculated Bill'!C5-SUM(P23:P24)</f>
        <v>0</v>
      </c>
      <c r="Q25" s="8">
        <f>'Calculated Bill'!C5-SUM(Q23:Q24)</f>
        <v>0</v>
      </c>
      <c r="R25" s="9"/>
    </row>
    <row r="26" spans="1:18" x14ac:dyDescent="0.25">
      <c r="D26" s="36">
        <v>2023</v>
      </c>
      <c r="E26" s="36"/>
    </row>
    <row r="27" spans="1:18" x14ac:dyDescent="0.25">
      <c r="D27" s="98">
        <v>2024</v>
      </c>
      <c r="E27" s="36"/>
    </row>
    <row r="28" spans="1:18" x14ac:dyDescent="0.25">
      <c r="D28" s="36"/>
      <c r="E28" s="36"/>
    </row>
    <row r="29" spans="1:18" x14ac:dyDescent="0.25">
      <c r="D29" s="36"/>
      <c r="E29" s="36"/>
    </row>
    <row r="33" spans="7:22" x14ac:dyDescent="0.25">
      <c r="G33" s="12">
        <f>4.41*6</f>
        <v>26.46</v>
      </c>
    </row>
    <row r="36" spans="7:22" x14ac:dyDescent="0.25">
      <c r="V36" s="93"/>
    </row>
  </sheetData>
  <phoneticPr fontId="28" type="noConversion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183B-1967-47A7-95C3-0D82FE39FF44}">
  <sheetPr codeName="Sheet4">
    <tabColor theme="1"/>
  </sheetPr>
  <dimension ref="A2:F23"/>
  <sheetViews>
    <sheetView workbookViewId="0">
      <selection activeCell="A6" sqref="A6"/>
    </sheetView>
  </sheetViews>
  <sheetFormatPr defaultRowHeight="15" x14ac:dyDescent="0.2"/>
  <cols>
    <col min="1" max="1" width="36.5546875" bestFit="1" customWidth="1"/>
  </cols>
  <sheetData>
    <row r="2" spans="1:6" x14ac:dyDescent="0.2">
      <c r="A2" t="s">
        <v>38</v>
      </c>
      <c r="D2" s="47">
        <v>0.04</v>
      </c>
    </row>
    <row r="3" spans="1:6" x14ac:dyDescent="0.2">
      <c r="A3" t="s">
        <v>39</v>
      </c>
      <c r="D3" s="47">
        <v>0.12</v>
      </c>
    </row>
    <row r="4" spans="1:6" x14ac:dyDescent="0.2">
      <c r="A4">
        <f>COLUMN()</f>
        <v>1</v>
      </c>
      <c r="B4">
        <f>COLUMN()</f>
        <v>2</v>
      </c>
      <c r="C4">
        <f>COLUMN()</f>
        <v>3</v>
      </c>
      <c r="D4">
        <f>COLUMN()</f>
        <v>4</v>
      </c>
      <c r="E4">
        <v>5</v>
      </c>
      <c r="F4">
        <v>6</v>
      </c>
    </row>
    <row r="5" spans="1:6" x14ac:dyDescent="0.2">
      <c r="B5">
        <v>2021</v>
      </c>
      <c r="C5">
        <v>2022</v>
      </c>
      <c r="D5">
        <v>2023</v>
      </c>
      <c r="E5">
        <v>2024</v>
      </c>
      <c r="F5">
        <v>2025</v>
      </c>
    </row>
    <row r="6" spans="1:6" x14ac:dyDescent="0.2">
      <c r="A6" t="s">
        <v>46</v>
      </c>
      <c r="B6">
        <v>31.61</v>
      </c>
      <c r="C6">
        <v>33.03</v>
      </c>
      <c r="D6">
        <v>34.36</v>
      </c>
      <c r="E6">
        <v>35.729999999999997</v>
      </c>
      <c r="F6">
        <v>37.159999999999997</v>
      </c>
    </row>
    <row r="7" spans="1:6" x14ac:dyDescent="0.2">
      <c r="A7" t="s">
        <v>47</v>
      </c>
      <c r="B7">
        <v>2.09</v>
      </c>
      <c r="C7">
        <v>2.19</v>
      </c>
      <c r="D7">
        <v>2.27</v>
      </c>
      <c r="E7">
        <v>2.36</v>
      </c>
      <c r="F7">
        <v>2.42</v>
      </c>
    </row>
    <row r="8" spans="1:6" x14ac:dyDescent="0.2">
      <c r="A8" t="s">
        <v>48</v>
      </c>
      <c r="B8">
        <v>2.42</v>
      </c>
      <c r="C8">
        <v>2.63</v>
      </c>
      <c r="D8">
        <v>2.95</v>
      </c>
      <c r="E8">
        <v>3.06</v>
      </c>
      <c r="F8">
        <v>3.15</v>
      </c>
    </row>
    <row r="10" spans="1:6" x14ac:dyDescent="0.2">
      <c r="A10" t="s">
        <v>40</v>
      </c>
      <c r="B10" s="46">
        <v>0</v>
      </c>
      <c r="C10" s="46">
        <v>0.5</v>
      </c>
      <c r="D10" s="46">
        <v>0.39</v>
      </c>
      <c r="E10" s="46">
        <f>10.55-10.14</f>
        <v>0.41000000000000014</v>
      </c>
      <c r="F10" s="46">
        <f>F13-E13</f>
        <v>0.41999999999999993</v>
      </c>
    </row>
    <row r="11" spans="1:6" x14ac:dyDescent="0.2">
      <c r="A11" t="s">
        <v>41</v>
      </c>
      <c r="B11" s="47">
        <v>1.75</v>
      </c>
      <c r="C11" s="47">
        <v>0</v>
      </c>
      <c r="D11" s="47">
        <v>0</v>
      </c>
      <c r="E11" s="47">
        <v>0</v>
      </c>
    </row>
    <row r="13" spans="1:6" x14ac:dyDescent="0.2">
      <c r="A13" t="s">
        <v>49</v>
      </c>
      <c r="B13">
        <v>9.25</v>
      </c>
      <c r="C13">
        <v>9.75</v>
      </c>
      <c r="D13" s="46">
        <f>C13+D10</f>
        <v>10.14</v>
      </c>
      <c r="E13" s="46">
        <v>10.55</v>
      </c>
      <c r="F13">
        <v>10.97</v>
      </c>
    </row>
    <row r="14" spans="1:6" x14ac:dyDescent="0.2">
      <c r="A14" t="s">
        <v>50</v>
      </c>
      <c r="B14" s="48">
        <v>5.5</v>
      </c>
      <c r="C14" s="48">
        <v>5.5</v>
      </c>
      <c r="D14" s="48">
        <f>C14*(1+D11)</f>
        <v>5.5</v>
      </c>
      <c r="E14" s="48">
        <v>5.5</v>
      </c>
      <c r="F14" s="48">
        <v>5.5</v>
      </c>
    </row>
    <row r="16" spans="1:6" x14ac:dyDescent="0.2">
      <c r="A16" t="s">
        <v>57</v>
      </c>
      <c r="B16">
        <v>7.3</v>
      </c>
      <c r="C16" s="48">
        <v>7.45</v>
      </c>
      <c r="D16">
        <v>7.96</v>
      </c>
      <c r="E16">
        <v>8.52</v>
      </c>
      <c r="F16">
        <v>8.92</v>
      </c>
    </row>
    <row r="17" spans="1:6" x14ac:dyDescent="0.2">
      <c r="A17" t="s">
        <v>51</v>
      </c>
      <c r="B17">
        <v>2.39</v>
      </c>
      <c r="C17" s="48">
        <v>2.44</v>
      </c>
      <c r="D17">
        <v>2.61</v>
      </c>
      <c r="E17">
        <v>2.79</v>
      </c>
      <c r="F17">
        <v>2.92</v>
      </c>
    </row>
    <row r="19" spans="1:6" x14ac:dyDescent="0.2">
      <c r="A19" t="s">
        <v>42</v>
      </c>
      <c r="B19" s="48">
        <v>5</v>
      </c>
      <c r="C19" s="48">
        <v>5</v>
      </c>
      <c r="D19" s="48">
        <f>C19</f>
        <v>5</v>
      </c>
      <c r="E19" s="48">
        <v>5</v>
      </c>
      <c r="F19" s="48">
        <v>5</v>
      </c>
    </row>
    <row r="21" spans="1:6" x14ac:dyDescent="0.2">
      <c r="B21" s="45">
        <v>4.2599999999999999E-2</v>
      </c>
      <c r="C21" s="45">
        <v>4.2599999999999999E-2</v>
      </c>
      <c r="D21" s="45">
        <v>4.2599999999999999E-2</v>
      </c>
      <c r="E21" s="45">
        <v>4.2599999999999999E-2</v>
      </c>
    </row>
    <row r="22" spans="1:6" x14ac:dyDescent="0.2">
      <c r="A22" t="s">
        <v>58</v>
      </c>
      <c r="B22">
        <v>6.16</v>
      </c>
      <c r="C22">
        <v>7.9399999999999995</v>
      </c>
      <c r="D22">
        <f>ROUND(C22*(1+D21),2)</f>
        <v>8.2799999999999994</v>
      </c>
      <c r="E22">
        <v>8.6300000000000008</v>
      </c>
      <c r="F22" s="48">
        <v>9</v>
      </c>
    </row>
    <row r="23" spans="1:6" x14ac:dyDescent="0.2">
      <c r="A23" t="s">
        <v>52</v>
      </c>
      <c r="B23">
        <v>6.16</v>
      </c>
      <c r="C23">
        <v>7.9399999999999995</v>
      </c>
      <c r="D23">
        <f t="shared" ref="D23" si="0">D22</f>
        <v>8.2799999999999994</v>
      </c>
      <c r="E23">
        <v>8.6300000000000008</v>
      </c>
      <c r="F23" s="48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Calculated Bill</vt:lpstr>
      <vt:lpstr>Bill Calculator</vt:lpstr>
      <vt:lpstr>Water Rates</vt:lpstr>
      <vt:lpstr>Other Rates</vt:lpstr>
      <vt:lpstr>Meter_Sizes</vt:lpstr>
      <vt:lpstr>Year_Lookup</vt:lpstr>
    </vt:vector>
  </TitlesOfParts>
  <Company>Malcolm Pirnie,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Healy</dc:creator>
  <cp:lastModifiedBy>Samantha Rico</cp:lastModifiedBy>
  <dcterms:created xsi:type="dcterms:W3CDTF">2010-04-22T21:20:09Z</dcterms:created>
  <dcterms:modified xsi:type="dcterms:W3CDTF">2024-06-13T23:30:57Z</dcterms:modified>
</cp:coreProperties>
</file>